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5355" windowHeight="8175" activeTab="0"/>
  </bookViews>
  <sheets>
    <sheet name="ASTM SOFTWARE" sheetId="1" r:id="rId1"/>
    <sheet name="," sheetId="2" r:id="rId2"/>
    <sheet name="." sheetId="3" r:id="rId3"/>
  </sheets>
  <definedNames>
    <definedName name="\r">#REF!</definedName>
    <definedName name="\s">#REF!</definedName>
    <definedName name="_Fill" hidden="1">#REF!</definedName>
    <definedName name="_xlnm.Print_Area" localSheetId="1">','!$A$1:$K$43</definedName>
    <definedName name="_xlnm.Print_Area" localSheetId="2">'.'!$A$1:$K$45</definedName>
  </definedNames>
  <calcPr fullCalcOnLoad="1"/>
</workbook>
</file>

<file path=xl/sharedStrings.xml><?xml version="1.0" encoding="utf-8"?>
<sst xmlns="http://schemas.openxmlformats.org/spreadsheetml/2006/main" count="147" uniqueCount="87">
  <si>
    <t>API</t>
  </si>
  <si>
    <t>TEMP</t>
  </si>
  <si>
    <t>WCF         TABLE 13</t>
  </si>
  <si>
    <t>WCF         TABLE 11</t>
  </si>
  <si>
    <t>VCF         TABLE 6B</t>
  </si>
  <si>
    <t>TEMP DEG F</t>
  </si>
  <si>
    <t>TEMP DEG C</t>
  </si>
  <si>
    <t>VCF         TABLE 54B</t>
  </si>
  <si>
    <t>WCF         TABLE 56</t>
  </si>
  <si>
    <t>RD  (60/60)</t>
  </si>
  <si>
    <t>DENS.   @ 15 C</t>
  </si>
  <si>
    <t>T</t>
  </si>
  <si>
    <t>Tank</t>
  </si>
  <si>
    <t>Corr.</t>
  </si>
  <si>
    <t>T.O.V</t>
  </si>
  <si>
    <t>Free</t>
  </si>
  <si>
    <t>Water</t>
  </si>
  <si>
    <t>G.O.V</t>
  </si>
  <si>
    <t>SG</t>
  </si>
  <si>
    <t>Temp</t>
  </si>
  <si>
    <t>V.C.F</t>
  </si>
  <si>
    <t>G.S.V</t>
  </si>
  <si>
    <t>No.</t>
  </si>
  <si>
    <t>Ullage</t>
  </si>
  <si>
    <t>Dip</t>
  </si>
  <si>
    <t>Vol.</t>
  </si>
  <si>
    <t>oF</t>
  </si>
  <si>
    <t>Table</t>
  </si>
  <si>
    <t xml:space="preserve">TOTAL :      </t>
  </si>
  <si>
    <t>W.C.F ( ASTM D-13 ) :</t>
  </si>
  <si>
    <t>:</t>
  </si>
  <si>
    <t>Metric Tons :</t>
  </si>
  <si>
    <t>Long Tons :</t>
  </si>
  <si>
    <t>( G.S.V + Free Water )</t>
  </si>
  <si>
    <t>Sea Condition/temp</t>
  </si>
  <si>
    <t>Non segregated ballast tanks</t>
  </si>
  <si>
    <t>: -</t>
  </si>
  <si>
    <t>Segregated ballast tanks</t>
  </si>
  <si>
    <t>: Yes.</t>
  </si>
  <si>
    <t>Lines drained to</t>
  </si>
  <si>
    <t>Chief Officer</t>
  </si>
  <si>
    <t>Cargo Inspector</t>
  </si>
  <si>
    <t>All our activities are carried out under the terms lodged at the Arrondissementsrechtbank ( Count Court ) in Rotterdam.</t>
  </si>
  <si>
    <t>Trade Register Rotterdam No 228. 922</t>
  </si>
  <si>
    <t>T-52</t>
  </si>
  <si>
    <t>BBLS@60</t>
  </si>
  <si>
    <t>KLs@60</t>
  </si>
  <si>
    <r>
      <t xml:space="preserve">G.S.V ( Gross Standard Volume) </t>
    </r>
    <r>
      <rPr>
        <strike/>
        <sz val="10"/>
        <rFont val="Arial"/>
        <family val="2"/>
      </rPr>
      <t>Kls</t>
    </r>
    <r>
      <rPr>
        <sz val="10"/>
        <rFont val="Arial"/>
        <family val="2"/>
      </rPr>
      <t>/BBls :</t>
    </r>
  </si>
  <si>
    <r>
      <t>G.S.V ( Gross Standard Volume)</t>
    </r>
    <r>
      <rPr>
        <strike/>
        <sz val="10"/>
        <rFont val="Arial"/>
        <family val="2"/>
      </rPr>
      <t xml:space="preserve"> Kls</t>
    </r>
    <r>
      <rPr>
        <sz val="10"/>
        <rFont val="Arial"/>
        <family val="2"/>
      </rPr>
      <t>/BBls :</t>
    </r>
  </si>
  <si>
    <r>
      <t xml:space="preserve">: In Port / 20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</t>
    </r>
  </si>
  <si>
    <t>Temp deg F</t>
  </si>
  <si>
    <t>VCF 6B</t>
  </si>
  <si>
    <t xml:space="preserve"> </t>
  </si>
  <si>
    <t>Nil</t>
  </si>
  <si>
    <t>Obsvd</t>
  </si>
  <si>
    <t>Density</t>
  </si>
  <si>
    <t>Ft/M</t>
  </si>
  <si>
    <t>@15 oC</t>
  </si>
  <si>
    <t>oC</t>
  </si>
  <si>
    <t>54B</t>
  </si>
  <si>
    <t>2-P</t>
  </si>
  <si>
    <t>2-S</t>
  </si>
  <si>
    <t>3-P</t>
  </si>
  <si>
    <t>3-S</t>
  </si>
  <si>
    <t>4-P</t>
  </si>
  <si>
    <t>4-S</t>
  </si>
  <si>
    <t>5-P</t>
  </si>
  <si>
    <t>5-S</t>
  </si>
  <si>
    <t>6-P</t>
  </si>
  <si>
    <t>6-S</t>
  </si>
  <si>
    <t>7-P</t>
  </si>
  <si>
    <t>7-S</t>
  </si>
  <si>
    <t>8-P</t>
  </si>
  <si>
    <t>8-S</t>
  </si>
  <si>
    <t>W.C.F in Air</t>
  </si>
  <si>
    <t>G.S.V ( Gross Standard Volume) Kls/BBls :</t>
  </si>
  <si>
    <t>NET M3-NET BBLS</t>
  </si>
  <si>
    <t>Ozzy</t>
  </si>
  <si>
    <r>
      <t>Bbls</t>
    </r>
    <r>
      <rPr>
        <sz val="8"/>
        <color indexed="9"/>
        <rFont val="Times New Roman"/>
        <family val="1"/>
      </rPr>
      <t>/Kls</t>
    </r>
  </si>
  <si>
    <r>
      <t>BBLs</t>
    </r>
    <r>
      <rPr>
        <sz val="8"/>
        <color indexed="9"/>
        <rFont val="Times New Roman"/>
        <family val="1"/>
      </rPr>
      <t>/KLs</t>
    </r>
  </si>
  <si>
    <r>
      <t>AT 60</t>
    </r>
    <r>
      <rPr>
        <vertAlign val="superscript"/>
        <sz val="12"/>
        <color indexed="9"/>
        <rFont val="Times New Roman"/>
        <family val="1"/>
      </rPr>
      <t>o</t>
    </r>
    <r>
      <rPr>
        <sz val="12"/>
        <color indexed="9"/>
        <rFont val="Times New Roman"/>
        <family val="1"/>
      </rPr>
      <t>F</t>
    </r>
  </si>
  <si>
    <r>
      <t>AT15</t>
    </r>
    <r>
      <rPr>
        <vertAlign val="superscript"/>
        <sz val="10"/>
        <color indexed="9"/>
        <rFont val="Arial"/>
        <family val="2"/>
      </rPr>
      <t>o</t>
    </r>
    <r>
      <rPr>
        <sz val="10"/>
        <color indexed="9"/>
        <rFont val="Arial"/>
        <family val="2"/>
      </rPr>
      <t>C</t>
    </r>
  </si>
  <si>
    <r>
      <t xml:space="preserve">: In Port / 28 </t>
    </r>
    <r>
      <rPr>
        <vertAlign val="superscript"/>
        <sz val="11"/>
        <color indexed="9"/>
        <rFont val="Times New Roman"/>
        <family val="1"/>
      </rPr>
      <t>o</t>
    </r>
    <r>
      <rPr>
        <sz val="11"/>
        <color indexed="9"/>
        <rFont val="Times New Roman"/>
        <family val="1"/>
      </rPr>
      <t>C</t>
    </r>
  </si>
  <si>
    <t>TABLE CAN BE USED FOR PRODUCTS WITH EITHER POSITIVE OR NEGATIVE API's</t>
  </si>
  <si>
    <t xml:space="preserve">DATA FOR COMPUTATION OF VCF TABLE 54B NOT AVAILABLE FOR NEGATIVE API CARGOES </t>
  </si>
  <si>
    <t>EDIT ONLY YELLOW FIELDS</t>
  </si>
  <si>
    <t>C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</si>
</sst>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"/>
    <numFmt numFmtId="168" formatCode="0.0000"/>
    <numFmt numFmtId="169" formatCode=";;;"/>
    <numFmt numFmtId="170" formatCode="m/d/yy\ h:mm"/>
    <numFmt numFmtId="171" formatCode="\+0.00;\ \-0.00"/>
    <numFmt numFmtId="172" formatCode="dd\ mmm\ yyyy"/>
    <numFmt numFmtId="173" formatCode="0.0"/>
    <numFmt numFmtId="174" formatCode="#,##0.000"/>
    <numFmt numFmtId="175" formatCode="#,##0.0"/>
    <numFmt numFmtId="176" formatCode="General_)"/>
    <numFmt numFmtId="177" formatCode="#,##0.00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.0_)"/>
    <numFmt numFmtId="193" formatCode="0.000_)"/>
    <numFmt numFmtId="194" formatCode="0.0000_)"/>
    <numFmt numFmtId="195" formatCode="0.00_)"/>
    <numFmt numFmtId="196" formatCode="0.00000_)"/>
    <numFmt numFmtId="197" formatCode="dd\-mmm\-yy_)"/>
    <numFmt numFmtId="198" formatCode="hh:mm_)"/>
    <numFmt numFmtId="199" formatCode="#,##0.000_);\(#,##0.000\)"/>
    <numFmt numFmtId="200" formatCode="#,##0.0_);\(#,##0.0\)"/>
    <numFmt numFmtId="201" formatCode="[$-409]h:mm:ss\ AM/PM"/>
    <numFmt numFmtId="202" formatCode="[$-409]dddd\,\ mmmm\ dd\,\ yyyy"/>
    <numFmt numFmtId="203" formatCode="&quot;US$&quot;#,##0_);\(&quot;US$&quot;#,##0\)"/>
    <numFmt numFmtId="204" formatCode="&quot;US$&quot;#,##0_);[Red]\(&quot;US$&quot;#,##0\)"/>
    <numFmt numFmtId="205" formatCode="&quot;US$&quot;#,##0.00_);\(&quot;US$&quot;#,##0.00\)"/>
    <numFmt numFmtId="206" formatCode="&quot;US$&quot;#,##0.00_);[Red]\(&quot;US$&quot;#,##0.00\)"/>
    <numFmt numFmtId="207" formatCode="0.000_);[Red]\(0.000\)"/>
    <numFmt numFmtId="208" formatCode="_-* #,##0.000_-;\-* #,##0.000_-;_-* &quot;-&quot;??_-;_-@_-"/>
    <numFmt numFmtId="209" formatCode="_-* #,##0.000_-;\-* #,##0.000_-;_-* &quot;-&quot;???_-;_-@_-"/>
    <numFmt numFmtId="210" formatCode="_-* #,##0.0_-;\-* #,##0.0_-;_-* &quot;-&quot;??_-;_-@_-"/>
    <numFmt numFmtId="211" formatCode="\od\-mm\-yy"/>
    <numFmt numFmtId="212" formatCode="dd\-mm\-yy"/>
    <numFmt numFmtId="213" formatCode="0.00_);[Red]\(0.00\)"/>
    <numFmt numFmtId="214" formatCode="0.0000_);[Red]\(0.0000\)"/>
    <numFmt numFmtId="215" formatCode="_-* #,##0.0000_-;\-* #,##0.0000_-;_-* &quot;-&quot;????_-;_-@_-"/>
    <numFmt numFmtId="216" formatCode="#,##0.00000"/>
    <numFmt numFmtId="217" formatCode="#,##0.000000"/>
    <numFmt numFmtId="218" formatCode="0.0_);[Red]\(0.0\)"/>
    <numFmt numFmtId="219" formatCode="#,##0.000_ "/>
    <numFmt numFmtId="220" formatCode="0.0_ "/>
    <numFmt numFmtId="221" formatCode="0_);[Red]\(0\)"/>
    <numFmt numFmtId="222" formatCode="#,##0.000_ ;[Red]\-#,##0.000\ "/>
    <numFmt numFmtId="223" formatCode="0.00;[Red]0.00"/>
    <numFmt numFmtId="224" formatCode="0.0;[Red]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4"/>
      <color indexed="10"/>
      <name val="Arial"/>
      <family val="0"/>
    </font>
    <font>
      <sz val="14"/>
      <name val="Arial"/>
      <family val="0"/>
    </font>
    <font>
      <sz val="12"/>
      <color indexed="10"/>
      <name val="Times New Roman"/>
      <family val="1"/>
    </font>
    <font>
      <sz val="12"/>
      <name val="新細明體"/>
      <family val="1"/>
    </font>
    <font>
      <sz val="12"/>
      <name val="Courier"/>
      <family val="3"/>
    </font>
    <font>
      <sz val="8"/>
      <name val="新細明體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新細明體"/>
      <family val="1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trike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新細明體"/>
      <family val="1"/>
    </font>
    <font>
      <b/>
      <sz val="16"/>
      <name val="Arial"/>
      <family val="2"/>
    </font>
    <font>
      <strike/>
      <sz val="10"/>
      <name val="Arial"/>
      <family val="2"/>
    </font>
    <font>
      <vertAlign val="superscript"/>
      <sz val="11"/>
      <name val="Arial"/>
      <family val="2"/>
    </font>
    <font>
      <b/>
      <sz val="14"/>
      <color indexed="9"/>
      <name val="Arial"/>
      <family val="0"/>
    </font>
    <font>
      <b/>
      <sz val="16"/>
      <color indexed="9"/>
      <name val="Arial"/>
      <family val="0"/>
    </font>
    <font>
      <b/>
      <sz val="14"/>
      <color indexed="18"/>
      <name val="Arial"/>
      <family val="0"/>
    </font>
    <font>
      <b/>
      <sz val="14"/>
      <color indexed="43"/>
      <name val="Arial"/>
      <family val="0"/>
    </font>
    <font>
      <b/>
      <sz val="14"/>
      <color indexed="12"/>
      <name val="Arial"/>
      <family val="2"/>
    </font>
    <font>
      <sz val="10"/>
      <color indexed="9"/>
      <name val="Arial"/>
      <family val="0"/>
    </font>
    <font>
      <b/>
      <sz val="12"/>
      <color indexed="9"/>
      <name val="Lucida Console"/>
      <family val="3"/>
    </font>
    <font>
      <sz val="12"/>
      <color indexed="9"/>
      <name val="新細明體"/>
      <family val="1"/>
    </font>
    <font>
      <u val="single"/>
      <sz val="16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sz val="8"/>
      <color indexed="9"/>
      <name val="Times New Roman"/>
      <family val="1"/>
    </font>
    <font>
      <strike/>
      <sz val="8"/>
      <color indexed="9"/>
      <name val="Times New Roman"/>
      <family val="1"/>
    </font>
    <font>
      <sz val="8"/>
      <color indexed="9"/>
      <name val="新細明體"/>
      <family val="1"/>
    </font>
    <font>
      <vertAlign val="superscript"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新細明體"/>
      <family val="1"/>
    </font>
    <font>
      <sz val="10.5"/>
      <color indexed="9"/>
      <name val="Arial"/>
      <family val="2"/>
    </font>
    <font>
      <vertAlign val="superscript"/>
      <sz val="10"/>
      <color indexed="9"/>
      <name val="Arial"/>
      <family val="2"/>
    </font>
    <font>
      <sz val="11"/>
      <color indexed="9"/>
      <name val="新細明體"/>
      <family val="1"/>
    </font>
    <font>
      <vertAlign val="superscript"/>
      <sz val="11"/>
      <color indexed="9"/>
      <name val="Times New Roman"/>
      <family val="1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0"/>
      <color indexed="5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239">
    <xf numFmtId="0" fontId="0" fillId="0" borderId="0" xfId="0" applyAlignment="1">
      <alignment/>
    </xf>
    <xf numFmtId="0" fontId="11" fillId="0" borderId="0" xfId="22" applyFont="1" applyAlignment="1">
      <alignment vertical="center"/>
      <protection/>
    </xf>
    <xf numFmtId="169" fontId="8" fillId="0" borderId="0" xfId="22" applyNumberFormat="1" applyAlignment="1">
      <alignment vertical="center"/>
      <protection/>
    </xf>
    <xf numFmtId="169" fontId="12" fillId="0" borderId="0" xfId="22" applyNumberFormat="1" applyFont="1" applyAlignment="1">
      <alignment vertical="center"/>
      <protection/>
    </xf>
    <xf numFmtId="0" fontId="8" fillId="0" borderId="0" xfId="22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1" fillId="0" borderId="1" xfId="22" applyFont="1" applyBorder="1" applyAlignment="1">
      <alignment horizontal="center" vertical="center"/>
      <protection/>
    </xf>
    <xf numFmtId="167" fontId="11" fillId="0" borderId="1" xfId="22" applyNumberFormat="1" applyFont="1" applyBorder="1" applyAlignment="1">
      <alignment horizontal="center" vertical="center"/>
      <protection/>
    </xf>
    <xf numFmtId="2" fontId="11" fillId="0" borderId="1" xfId="22" applyNumberFormat="1" applyFont="1" applyBorder="1" applyAlignment="1">
      <alignment horizontal="center" vertical="center"/>
      <protection/>
    </xf>
    <xf numFmtId="168" fontId="11" fillId="0" borderId="1" xfId="22" applyNumberFormat="1" applyFont="1" applyBorder="1" applyAlignment="1">
      <alignment horizontal="center" vertical="center"/>
      <protection/>
    </xf>
    <xf numFmtId="168" fontId="13" fillId="0" borderId="0" xfId="22" applyNumberFormat="1" applyFont="1" applyBorder="1" applyAlignment="1">
      <alignment horizontal="left" vertical="center"/>
      <protection/>
    </xf>
    <xf numFmtId="0" fontId="13" fillId="0" borderId="2" xfId="22" applyFont="1" applyBorder="1" applyAlignment="1">
      <alignment vertical="center"/>
      <protection/>
    </xf>
    <xf numFmtId="0" fontId="13" fillId="0" borderId="0" xfId="22" applyFont="1" applyBorder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13" fillId="0" borderId="0" xfId="22" applyFont="1" applyBorder="1" applyAlignment="1">
      <alignment horizontal="right" vertical="center"/>
      <protection/>
    </xf>
    <xf numFmtId="208" fontId="13" fillId="0" borderId="3" xfId="17" applyNumberFormat="1" applyFont="1" applyBorder="1" applyAlignment="1">
      <alignment horizontal="left" vertical="center"/>
    </xf>
    <xf numFmtId="0" fontId="12" fillId="0" borderId="0" xfId="22" applyFont="1" applyAlignment="1">
      <alignment vertical="center"/>
      <protection/>
    </xf>
    <xf numFmtId="185" fontId="13" fillId="0" borderId="0" xfId="17" applyFont="1" applyAlignment="1">
      <alignment vertical="center"/>
    </xf>
    <xf numFmtId="0" fontId="25" fillId="0" borderId="0" xfId="22" applyFont="1" applyAlignment="1">
      <alignment vertical="center"/>
      <protection/>
    </xf>
    <xf numFmtId="0" fontId="13" fillId="0" borderId="0" xfId="22" applyFont="1" applyAlignment="1">
      <alignment horizontal="right" vertical="center"/>
      <protection/>
    </xf>
    <xf numFmtId="169" fontId="12" fillId="0" borderId="0" xfId="22" applyNumberFormat="1" applyFont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/>
      <protection/>
    </xf>
    <xf numFmtId="0" fontId="3" fillId="0" borderId="4" xfId="22" applyFont="1" applyBorder="1" applyAlignment="1" quotePrefix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7" xfId="22" applyFont="1" applyBorder="1" applyAlignment="1" quotePrefix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3" fillId="0" borderId="9" xfId="22" applyFont="1" applyBorder="1" applyAlignment="1" quotePrefix="1">
      <alignment horizontal="center" vertical="center"/>
      <protection/>
    </xf>
    <xf numFmtId="0" fontId="3" fillId="0" borderId="8" xfId="22" applyFont="1" applyBorder="1" applyAlignment="1" quotePrefix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11" fillId="0" borderId="11" xfId="22" applyNumberFormat="1" applyFont="1" applyFill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2" fontId="11" fillId="0" borderId="1" xfId="22" applyNumberFormat="1" applyFont="1" applyFill="1" applyBorder="1" applyAlignment="1">
      <alignment horizontal="center" vertical="center"/>
      <protection/>
    </xf>
    <xf numFmtId="220" fontId="11" fillId="0" borderId="11" xfId="22" applyNumberFormat="1" applyFont="1" applyFill="1" applyBorder="1" applyAlignment="1">
      <alignment horizontal="center" vertical="center"/>
      <protection/>
    </xf>
    <xf numFmtId="167" fontId="11" fillId="0" borderId="1" xfId="22" applyNumberFormat="1" applyFont="1" applyBorder="1" applyAlignment="1">
      <alignment vertical="center"/>
      <protection/>
    </xf>
    <xf numFmtId="0" fontId="11" fillId="0" borderId="1" xfId="22" applyNumberFormat="1" applyFont="1" applyFill="1" applyBorder="1" applyAlignment="1">
      <alignment vertical="center"/>
      <protection/>
    </xf>
    <xf numFmtId="0" fontId="11" fillId="0" borderId="1" xfId="22" applyFont="1" applyBorder="1" applyAlignment="1">
      <alignment vertical="center"/>
      <protection/>
    </xf>
    <xf numFmtId="1" fontId="11" fillId="0" borderId="1" xfId="22" applyNumberFormat="1" applyFont="1" applyBorder="1" applyAlignment="1">
      <alignment vertical="center"/>
      <protection/>
    </xf>
    <xf numFmtId="2" fontId="11" fillId="0" borderId="1" xfId="22" applyNumberFormat="1" applyFont="1" applyFill="1" applyBorder="1" applyAlignment="1">
      <alignment vertical="center"/>
      <protection/>
    </xf>
    <xf numFmtId="173" fontId="11" fillId="0" borderId="1" xfId="22" applyNumberFormat="1" applyFont="1" applyFill="1" applyBorder="1" applyAlignment="1">
      <alignment vertical="center"/>
      <protection/>
    </xf>
    <xf numFmtId="168" fontId="11" fillId="0" borderId="1" xfId="22" applyNumberFormat="1" applyFont="1" applyBorder="1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1" fontId="11" fillId="0" borderId="1" xfId="17" applyNumberFormat="1" applyFont="1" applyBorder="1" applyAlignment="1">
      <alignment horizontal="center" vertical="center"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Fill="1" applyAlignment="1">
      <alignment horizontal="center" vertical="center"/>
      <protection/>
    </xf>
    <xf numFmtId="0" fontId="11" fillId="0" borderId="12" xfId="22" applyFont="1" applyBorder="1" applyAlignment="1">
      <alignment vertical="center"/>
      <protection/>
    </xf>
    <xf numFmtId="0" fontId="11" fillId="0" borderId="5" xfId="22" applyFont="1" applyBorder="1" applyAlignment="1">
      <alignment vertical="center"/>
      <protection/>
    </xf>
    <xf numFmtId="0" fontId="11" fillId="0" borderId="6" xfId="22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 quotePrefix="1">
      <alignment horizontal="right" vertical="center"/>
      <protection/>
    </xf>
    <xf numFmtId="0" fontId="13" fillId="0" borderId="3" xfId="22" applyFont="1" applyBorder="1" applyAlignment="1">
      <alignment vertical="center"/>
      <protection/>
    </xf>
    <xf numFmtId="0" fontId="0" fillId="0" borderId="2" xfId="22" applyFont="1" applyBorder="1" applyAlignment="1" quotePrefix="1">
      <alignment horizontal="left" vertical="center"/>
      <protection/>
    </xf>
    <xf numFmtId="0" fontId="13" fillId="0" borderId="0" xfId="22" applyFont="1" applyBorder="1" applyAlignment="1">
      <alignment horizontal="left" vertical="center"/>
      <protection/>
    </xf>
    <xf numFmtId="208" fontId="13" fillId="0" borderId="3" xfId="17" applyNumberFormat="1" applyFont="1" applyBorder="1" applyAlignment="1">
      <alignment horizontal="center" vertical="center"/>
    </xf>
    <xf numFmtId="0" fontId="0" fillId="0" borderId="13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13" fillId="0" borderId="9" xfId="22" applyFont="1" applyBorder="1" applyAlignment="1">
      <alignment vertical="center"/>
      <protection/>
    </xf>
    <xf numFmtId="0" fontId="13" fillId="0" borderId="10" xfId="22" applyFont="1" applyBorder="1" applyAlignment="1">
      <alignment vertical="center"/>
      <protection/>
    </xf>
    <xf numFmtId="0" fontId="13" fillId="0" borderId="13" xfId="22" applyFont="1" applyBorder="1" applyAlignment="1">
      <alignment vertical="center"/>
      <protection/>
    </xf>
    <xf numFmtId="0" fontId="13" fillId="0" borderId="0" xfId="22" applyFont="1" applyAlignment="1" quotePrefix="1">
      <alignment vertical="center"/>
      <protection/>
    </xf>
    <xf numFmtId="0" fontId="11" fillId="0" borderId="9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11" fillId="0" borderId="0" xfId="22" applyFont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vertical="center"/>
      <protection/>
    </xf>
    <xf numFmtId="0" fontId="40" fillId="0" borderId="0" xfId="22" applyFont="1" applyBorder="1" applyAlignment="1" quotePrefix="1">
      <alignment horizontal="right" vertical="center"/>
      <protection/>
    </xf>
    <xf numFmtId="168" fontId="39" fillId="0" borderId="0" xfId="22" applyNumberFormat="1" applyFont="1" applyBorder="1" applyAlignment="1">
      <alignment horizontal="left" vertical="center"/>
      <protection/>
    </xf>
    <xf numFmtId="0" fontId="46" fillId="0" borderId="0" xfId="22" applyFont="1" applyBorder="1" applyAlignment="1">
      <alignment vertical="center"/>
      <protection/>
    </xf>
    <xf numFmtId="0" fontId="47" fillId="0" borderId="0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vertical="center"/>
      <protection/>
    </xf>
    <xf numFmtId="0" fontId="39" fillId="0" borderId="0" xfId="22" applyFont="1" applyBorder="1" applyAlignment="1">
      <alignment horizontal="right" vertical="center"/>
      <protection/>
    </xf>
    <xf numFmtId="169" fontId="35" fillId="0" borderId="0" xfId="22" applyNumberFormat="1" applyFont="1" applyBorder="1" applyAlignment="1">
      <alignment vertical="center"/>
      <protection/>
    </xf>
    <xf numFmtId="0" fontId="36" fillId="0" borderId="0" xfId="22" applyFont="1" applyBorder="1" applyAlignment="1">
      <alignment vertical="center"/>
      <protection/>
    </xf>
    <xf numFmtId="0" fontId="37" fillId="0" borderId="0" xfId="22" applyFont="1" applyBorder="1" applyAlignment="1">
      <alignment vertical="center"/>
      <protection/>
    </xf>
    <xf numFmtId="0" fontId="38" fillId="0" borderId="0" xfId="22" applyFont="1" applyBorder="1" applyAlignment="1">
      <alignment vertical="center"/>
      <protection/>
    </xf>
    <xf numFmtId="0" fontId="37" fillId="0" borderId="0" xfId="22" applyFont="1" applyBorder="1" applyAlignment="1">
      <alignment horizontal="right" vertical="center"/>
      <protection/>
    </xf>
    <xf numFmtId="0" fontId="40" fillId="0" borderId="0" xfId="22" applyFont="1" applyBorder="1" applyAlignment="1">
      <alignment vertical="center"/>
      <protection/>
    </xf>
    <xf numFmtId="0" fontId="41" fillId="0" borderId="0" xfId="22" applyFont="1" applyBorder="1" applyAlignment="1" quotePrefix="1">
      <alignment horizontal="center" vertical="center"/>
      <protection/>
    </xf>
    <xf numFmtId="0" fontId="42" fillId="0" borderId="0" xfId="22" applyFont="1" applyBorder="1" applyAlignment="1">
      <alignment horizontal="center" vertical="center"/>
      <protection/>
    </xf>
    <xf numFmtId="169" fontId="40" fillId="0" borderId="0" xfId="22" applyNumberFormat="1" applyFont="1" applyBorder="1" applyAlignment="1">
      <alignment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42" fillId="0" borderId="0" xfId="22" applyFont="1" applyBorder="1" applyAlignment="1" quotePrefix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167" fontId="38" fillId="0" borderId="0" xfId="22" applyNumberFormat="1" applyFont="1" applyBorder="1" applyAlignment="1">
      <alignment horizontal="center" vertical="center"/>
      <protection/>
    </xf>
    <xf numFmtId="224" fontId="38" fillId="0" borderId="0" xfId="22" applyNumberFormat="1" applyFont="1" applyFill="1" applyBorder="1" applyAlignment="1">
      <alignment horizontal="center" vertical="center"/>
      <protection/>
    </xf>
    <xf numFmtId="2" fontId="38" fillId="0" borderId="0" xfId="22" applyNumberFormat="1" applyFont="1" applyBorder="1" applyAlignment="1">
      <alignment horizontal="center" vertical="center"/>
      <protection/>
    </xf>
    <xf numFmtId="221" fontId="38" fillId="0" borderId="0" xfId="22" applyNumberFormat="1" applyFont="1" applyBorder="1" applyAlignment="1">
      <alignment horizontal="center" vertical="center"/>
      <protection/>
    </xf>
    <xf numFmtId="224" fontId="38" fillId="0" borderId="0" xfId="22" applyNumberFormat="1" applyFont="1" applyBorder="1" applyAlignment="1">
      <alignment horizontal="center" vertical="center"/>
      <protection/>
    </xf>
    <xf numFmtId="168" fontId="38" fillId="0" borderId="0" xfId="22" applyNumberFormat="1" applyFont="1" applyFill="1" applyBorder="1" applyAlignment="1">
      <alignment horizontal="center" vertical="center"/>
      <protection/>
    </xf>
    <xf numFmtId="173" fontId="38" fillId="0" borderId="0" xfId="22" applyNumberFormat="1" applyFont="1" applyFill="1" applyBorder="1" applyAlignment="1">
      <alignment horizontal="center" vertical="center"/>
      <protection/>
    </xf>
    <xf numFmtId="168" fontId="38" fillId="0" borderId="0" xfId="22" applyNumberFormat="1" applyFont="1" applyBorder="1" applyAlignment="1">
      <alignment horizontal="center" vertical="center"/>
      <protection/>
    </xf>
    <xf numFmtId="167" fontId="38" fillId="0" borderId="0" xfId="22" applyNumberFormat="1" applyFont="1" applyFill="1" applyBorder="1" applyAlignment="1">
      <alignment horizontal="center" vertical="center"/>
      <protection/>
    </xf>
    <xf numFmtId="0" fontId="40" fillId="0" borderId="0" xfId="22" applyFont="1" applyBorder="1" applyAlignment="1">
      <alignment horizontal="right" vertical="center"/>
      <protection/>
    </xf>
    <xf numFmtId="224" fontId="38" fillId="0" borderId="0" xfId="17" applyNumberFormat="1" applyFont="1" applyBorder="1" applyAlignment="1">
      <alignment horizontal="center" vertical="center"/>
    </xf>
    <xf numFmtId="167" fontId="38" fillId="0" borderId="0" xfId="17" applyNumberFormat="1" applyFont="1" applyBorder="1" applyAlignment="1">
      <alignment horizontal="center" vertical="center"/>
    </xf>
    <xf numFmtId="0" fontId="45" fillId="0" borderId="0" xfId="22" applyFont="1" applyBorder="1" applyAlignment="1">
      <alignment vertical="center"/>
      <protection/>
    </xf>
    <xf numFmtId="0" fontId="33" fillId="0" borderId="0" xfId="22" applyFont="1" applyBorder="1" applyAlignment="1">
      <alignment horizontal="right" vertical="center"/>
      <protection/>
    </xf>
    <xf numFmtId="208" fontId="39" fillId="0" borderId="0" xfId="17" applyNumberFormat="1" applyFont="1" applyBorder="1" applyAlignment="1">
      <alignment horizontal="left" vertical="center"/>
    </xf>
    <xf numFmtId="208" fontId="39" fillId="0" borderId="0" xfId="17" applyNumberFormat="1" applyFont="1" applyBorder="1" applyAlignment="1">
      <alignment vertical="center"/>
    </xf>
    <xf numFmtId="0" fontId="49" fillId="0" borderId="0" xfId="22" applyFont="1" applyBorder="1" applyAlignment="1">
      <alignment vertical="center"/>
      <protection/>
    </xf>
    <xf numFmtId="0" fontId="37" fillId="0" borderId="0" xfId="22" applyFont="1" applyBorder="1" applyAlignment="1" quotePrefix="1">
      <alignment vertical="center"/>
      <protection/>
    </xf>
    <xf numFmtId="0" fontId="40" fillId="0" borderId="0" xfId="22" applyFont="1" applyBorder="1" applyAlignment="1" quotePrefix="1">
      <alignment vertical="center"/>
      <protection/>
    </xf>
    <xf numFmtId="0" fontId="41" fillId="0" borderId="0" xfId="22" applyFont="1" applyBorder="1" applyAlignment="1">
      <alignment vertical="center"/>
      <protection/>
    </xf>
    <xf numFmtId="0" fontId="35" fillId="0" borderId="0" xfId="22" applyFont="1" applyBorder="1">
      <alignment/>
      <protection/>
    </xf>
    <xf numFmtId="185" fontId="39" fillId="0" borderId="0" xfId="17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0" fillId="3" borderId="18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center" vertical="center"/>
      <protection/>
    </xf>
    <xf numFmtId="0" fontId="6" fillId="3" borderId="17" xfId="0" applyFont="1" applyFill="1" applyBorder="1" applyAlignment="1" applyProtection="1">
      <alignment horizontal="center" vertical="center"/>
      <protection/>
    </xf>
    <xf numFmtId="0" fontId="31" fillId="4" borderId="19" xfId="0" applyFont="1" applyFill="1" applyBorder="1" applyAlignment="1" applyProtection="1">
      <alignment horizontal="center" vertical="center" wrapText="1"/>
      <protection/>
    </xf>
    <xf numFmtId="0" fontId="31" fillId="4" borderId="23" xfId="0" applyFont="1" applyFill="1" applyBorder="1" applyAlignment="1" applyProtection="1">
      <alignment horizontal="center" vertical="center" wrapText="1"/>
      <protection/>
    </xf>
    <xf numFmtId="0" fontId="31" fillId="4" borderId="24" xfId="0" applyFont="1" applyFill="1" applyBorder="1" applyAlignment="1" applyProtection="1">
      <alignment horizontal="center" vertical="center" wrapText="1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9" fontId="7" fillId="2" borderId="0" xfId="22" applyNumberFormat="1" applyFont="1" applyFill="1" applyBorder="1" applyAlignment="1" applyProtection="1">
      <alignment vertical="center"/>
      <protection/>
    </xf>
    <xf numFmtId="169" fontId="7" fillId="2" borderId="18" xfId="22" applyNumberFormat="1" applyFont="1" applyFill="1" applyBorder="1" applyAlignment="1" applyProtection="1">
      <alignment vertical="center"/>
      <protection/>
    </xf>
    <xf numFmtId="169" fontId="7" fillId="0" borderId="0" xfId="22" applyNumberFormat="1" applyFont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2" fontId="4" fillId="3" borderId="21" xfId="0" applyNumberFormat="1" applyFont="1" applyFill="1" applyBorder="1" applyAlignment="1" applyProtection="1">
      <alignment horizontal="center" vertical="center" wrapText="1"/>
      <protection/>
    </xf>
    <xf numFmtId="168" fontId="4" fillId="3" borderId="21" xfId="0" applyNumberFormat="1" applyFont="1" applyFill="1" applyBorder="1" applyAlignment="1" applyProtection="1">
      <alignment horizontal="center" vertical="center"/>
      <protection/>
    </xf>
    <xf numFmtId="166" fontId="4" fillId="3" borderId="21" xfId="0" applyNumberFormat="1" applyFont="1" applyFill="1" applyBorder="1" applyAlignment="1" applyProtection="1">
      <alignment horizontal="center" vertical="center"/>
      <protection/>
    </xf>
    <xf numFmtId="2" fontId="4" fillId="2" borderId="0" xfId="0" applyNumberFormat="1" applyFont="1" applyFill="1" applyBorder="1" applyAlignment="1" applyProtection="1">
      <alignment horizontal="center" vertical="center" wrapText="1"/>
      <protection/>
    </xf>
    <xf numFmtId="168" fontId="4" fillId="2" borderId="0" xfId="0" applyNumberFormat="1" applyFont="1" applyFill="1" applyBorder="1" applyAlignment="1" applyProtection="1">
      <alignment horizontal="center" vertical="center"/>
      <protection/>
    </xf>
    <xf numFmtId="166" fontId="4" fillId="2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0" fillId="3" borderId="18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5" fillId="0" borderId="0" xfId="22" applyFont="1" applyBorder="1" applyAlignment="1" applyProtection="1">
      <alignment vertical="center"/>
      <protection/>
    </xf>
    <xf numFmtId="169" fontId="16" fillId="0" borderId="0" xfId="22" applyNumberFormat="1" applyFont="1" applyBorder="1" applyAlignment="1" applyProtection="1">
      <alignment vertical="center"/>
      <protection/>
    </xf>
    <xf numFmtId="169" fontId="17" fillId="0" borderId="0" xfId="22" applyNumberFormat="1" applyFont="1" applyBorder="1" applyAlignment="1" applyProtection="1">
      <alignment vertical="center"/>
      <protection/>
    </xf>
    <xf numFmtId="0" fontId="16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right" vertical="center"/>
      <protection/>
    </xf>
    <xf numFmtId="169" fontId="17" fillId="0" borderId="0" xfId="22" applyNumberFormat="1" applyFont="1" applyBorder="1" applyAlignment="1" applyProtection="1">
      <alignment horizontal="center" vertical="center"/>
      <protection/>
    </xf>
    <xf numFmtId="0" fontId="20" fillId="0" borderId="0" xfId="22" applyFont="1" applyBorder="1" applyAlignment="1" applyProtection="1">
      <alignment horizontal="center" vertical="center"/>
      <protection/>
    </xf>
    <xf numFmtId="0" fontId="20" fillId="0" borderId="0" xfId="22" applyFont="1" applyBorder="1" applyAlignment="1" applyProtection="1" quotePrefix="1">
      <alignment horizontal="center" vertical="center"/>
      <protection/>
    </xf>
    <xf numFmtId="0" fontId="21" fillId="0" borderId="0" xfId="22" applyFont="1" applyBorder="1" applyAlignment="1" applyProtection="1">
      <alignment horizontal="center" vertical="center"/>
      <protection/>
    </xf>
    <xf numFmtId="0" fontId="15" fillId="0" borderId="0" xfId="22" applyFont="1" applyBorder="1" applyAlignment="1" applyProtection="1">
      <alignment horizontal="center" vertical="center"/>
      <protection/>
    </xf>
    <xf numFmtId="167" fontId="15" fillId="0" borderId="0" xfId="22" applyNumberFormat="1" applyFont="1" applyBorder="1" applyAlignment="1" applyProtection="1">
      <alignment horizontal="center" vertical="center"/>
      <protection/>
    </xf>
    <xf numFmtId="0" fontId="15" fillId="0" borderId="0" xfId="22" applyNumberFormat="1" applyFont="1" applyFill="1" applyBorder="1" applyAlignment="1" applyProtection="1">
      <alignment horizontal="center" vertical="center"/>
      <protection/>
    </xf>
    <xf numFmtId="2" fontId="15" fillId="0" borderId="0" xfId="22" applyNumberFormat="1" applyFont="1" applyBorder="1" applyAlignment="1" applyProtection="1">
      <alignment horizontal="center" vertical="center"/>
      <protection/>
    </xf>
    <xf numFmtId="1" fontId="15" fillId="0" borderId="0" xfId="22" applyNumberFormat="1" applyFont="1" applyBorder="1" applyAlignment="1" applyProtection="1">
      <alignment horizontal="center" vertical="center"/>
      <protection/>
    </xf>
    <xf numFmtId="1" fontId="22" fillId="0" borderId="0" xfId="22" applyNumberFormat="1" applyFont="1" applyBorder="1" applyAlignment="1" applyProtection="1">
      <alignment horizontal="center" vertical="center"/>
      <protection/>
    </xf>
    <xf numFmtId="2" fontId="15" fillId="0" borderId="0" xfId="22" applyNumberFormat="1" applyFont="1" applyFill="1" applyBorder="1" applyAlignment="1" applyProtection="1">
      <alignment horizontal="center" vertical="center"/>
      <protection/>
    </xf>
    <xf numFmtId="220" fontId="15" fillId="0" borderId="0" xfId="22" applyNumberFormat="1" applyFont="1" applyFill="1" applyBorder="1" applyAlignment="1" applyProtection="1">
      <alignment horizontal="center" vertical="center"/>
      <protection/>
    </xf>
    <xf numFmtId="168" fontId="15" fillId="0" borderId="0" xfId="22" applyNumberFormat="1" applyFont="1" applyBorder="1" applyAlignment="1" applyProtection="1">
      <alignment horizontal="center" vertical="center"/>
      <protection/>
    </xf>
    <xf numFmtId="167" fontId="15" fillId="0" borderId="0" xfId="22" applyNumberFormat="1" applyFont="1" applyBorder="1" applyAlignment="1" applyProtection="1">
      <alignment vertical="center"/>
      <protection/>
    </xf>
    <xf numFmtId="0" fontId="15" fillId="0" borderId="0" xfId="22" applyNumberFormat="1" applyFont="1" applyFill="1" applyBorder="1" applyAlignment="1" applyProtection="1">
      <alignment vertical="center"/>
      <protection/>
    </xf>
    <xf numFmtId="1" fontId="15" fillId="0" borderId="0" xfId="22" applyNumberFormat="1" applyFont="1" applyBorder="1" applyAlignment="1" applyProtection="1">
      <alignment vertical="center"/>
      <protection/>
    </xf>
    <xf numFmtId="2" fontId="15" fillId="0" borderId="0" xfId="22" applyNumberFormat="1" applyFont="1" applyFill="1" applyBorder="1" applyAlignment="1" applyProtection="1">
      <alignment vertical="center"/>
      <protection/>
    </xf>
    <xf numFmtId="173" fontId="15" fillId="0" borderId="0" xfId="22" applyNumberFormat="1" applyFont="1" applyFill="1" applyBorder="1" applyAlignment="1" applyProtection="1">
      <alignment vertical="center"/>
      <protection/>
    </xf>
    <xf numFmtId="168" fontId="15" fillId="0" borderId="0" xfId="22" applyNumberFormat="1" applyFont="1" applyBorder="1" applyAlignment="1" applyProtection="1">
      <alignment vertical="center"/>
      <protection/>
    </xf>
    <xf numFmtId="0" fontId="15" fillId="0" borderId="0" xfId="22" applyFont="1" applyBorder="1" applyAlignment="1" applyProtection="1">
      <alignment horizontal="right" vertical="center"/>
      <protection/>
    </xf>
    <xf numFmtId="1" fontId="15" fillId="0" borderId="0" xfId="17" applyNumberFormat="1" applyFont="1" applyBorder="1" applyAlignment="1" applyProtection="1">
      <alignment horizontal="center" vertical="center"/>
      <protection/>
    </xf>
    <xf numFmtId="0" fontId="15" fillId="0" borderId="0" xfId="22" applyFont="1" applyFill="1" applyBorder="1" applyAlignment="1" applyProtection="1">
      <alignment horizontal="center" vertical="center"/>
      <protection/>
    </xf>
    <xf numFmtId="0" fontId="23" fillId="0" borderId="0" xfId="22" applyFont="1" applyBorder="1" applyAlignment="1" applyProtection="1">
      <alignment vertical="center"/>
      <protection/>
    </xf>
    <xf numFmtId="0" fontId="23" fillId="0" borderId="0" xfId="22" applyFont="1" applyBorder="1" applyAlignment="1" applyProtection="1" quotePrefix="1">
      <alignment horizontal="right" vertical="center"/>
      <protection/>
    </xf>
    <xf numFmtId="168" fontId="19" fillId="0" borderId="0" xfId="22" applyNumberFormat="1" applyFont="1" applyBorder="1" applyAlignment="1" applyProtection="1">
      <alignment horizontal="left" vertical="center"/>
      <protection/>
    </xf>
    <xf numFmtId="0" fontId="23" fillId="0" borderId="0" xfId="22" applyFont="1" applyBorder="1" applyAlignment="1" applyProtection="1" quotePrefix="1">
      <alignment horizontal="left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4" fillId="0" borderId="0" xfId="22" applyFont="1" applyBorder="1" applyAlignment="1" applyProtection="1">
      <alignment vertical="center"/>
      <protection/>
    </xf>
    <xf numFmtId="208" fontId="19" fillId="0" borderId="0" xfId="17" applyNumberFormat="1" applyFont="1" applyBorder="1" applyAlignment="1" applyProtection="1">
      <alignment horizontal="center" vertical="center"/>
      <protection/>
    </xf>
    <xf numFmtId="208" fontId="19" fillId="0" borderId="0" xfId="17" applyNumberFormat="1" applyFont="1" applyBorder="1" applyAlignment="1" applyProtection="1">
      <alignment horizontal="lef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20" fillId="0" borderId="0" xfId="22" applyFont="1" applyBorder="1" applyAlignment="1" applyProtection="1">
      <alignment vertical="center"/>
      <protection/>
    </xf>
    <xf numFmtId="0" fontId="15" fillId="0" borderId="0" xfId="22" applyFont="1" applyBorder="1" applyProtection="1">
      <alignment/>
      <protection/>
    </xf>
    <xf numFmtId="0" fontId="17" fillId="0" borderId="0" xfId="22" applyFont="1" applyBorder="1" applyAlignment="1" applyProtection="1">
      <alignment vertical="center"/>
      <protection/>
    </xf>
    <xf numFmtId="185" fontId="19" fillId="0" borderId="0" xfId="17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7" fontId="29" fillId="5" borderId="25" xfId="0" applyNumberFormat="1" applyFont="1" applyFill="1" applyBorder="1" applyAlignment="1" applyProtection="1">
      <alignment horizontal="center" vertical="center"/>
      <protection/>
    </xf>
    <xf numFmtId="167" fontId="29" fillId="5" borderId="26" xfId="0" applyNumberFormat="1" applyFont="1" applyFill="1" applyBorder="1" applyAlignment="1" applyProtection="1">
      <alignment horizontal="center" vertical="center"/>
      <protection/>
    </xf>
    <xf numFmtId="168" fontId="29" fillId="0" borderId="0" xfId="0" applyNumberFormat="1" applyFont="1" applyBorder="1" applyAlignment="1" applyProtection="1">
      <alignment horizontal="center" vertical="center" wrapText="1"/>
      <protection/>
    </xf>
    <xf numFmtId="168" fontId="29" fillId="5" borderId="27" xfId="0" applyNumberFormat="1" applyFont="1" applyFill="1" applyBorder="1" applyAlignment="1" applyProtection="1">
      <alignment horizontal="center" vertical="center" wrapText="1"/>
      <protection/>
    </xf>
    <xf numFmtId="168" fontId="29" fillId="5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2" fontId="29" fillId="5" borderId="27" xfId="0" applyNumberFormat="1" applyFont="1" applyFill="1" applyBorder="1" applyAlignment="1" applyProtection="1">
      <alignment horizontal="center" vertical="center" wrapText="1"/>
      <protection/>
    </xf>
    <xf numFmtId="2" fontId="29" fillId="5" borderId="28" xfId="0" applyNumberFormat="1" applyFont="1" applyFill="1" applyBorder="1" applyAlignment="1" applyProtection="1">
      <alignment horizontal="center" vertical="center" wrapText="1"/>
      <protection/>
    </xf>
    <xf numFmtId="168" fontId="29" fillId="5" borderId="29" xfId="0" applyNumberFormat="1" applyFont="1" applyFill="1" applyBorder="1" applyAlignment="1" applyProtection="1">
      <alignment horizontal="center" vertical="center"/>
      <protection/>
    </xf>
    <xf numFmtId="168" fontId="29" fillId="5" borderId="30" xfId="0" applyNumberFormat="1" applyFont="1" applyFill="1" applyBorder="1" applyAlignment="1" applyProtection="1">
      <alignment horizontal="center" vertical="center"/>
      <protection/>
    </xf>
    <xf numFmtId="168" fontId="29" fillId="5" borderId="31" xfId="0" applyNumberFormat="1" applyFont="1" applyFill="1" applyBorder="1" applyAlignment="1" applyProtection="1">
      <alignment horizontal="center" vertical="center"/>
      <protection/>
    </xf>
    <xf numFmtId="168" fontId="29" fillId="5" borderId="32" xfId="0" applyNumberFormat="1" applyFont="1" applyFill="1" applyBorder="1" applyAlignment="1" applyProtection="1">
      <alignment horizontal="center" vertical="center"/>
      <protection/>
    </xf>
    <xf numFmtId="168" fontId="29" fillId="5" borderId="25" xfId="0" applyNumberFormat="1" applyFont="1" applyFill="1" applyBorder="1" applyAlignment="1" applyProtection="1">
      <alignment horizontal="center" vertical="center"/>
      <protection/>
    </xf>
    <xf numFmtId="168" fontId="29" fillId="5" borderId="26" xfId="0" applyNumberFormat="1" applyFont="1" applyFill="1" applyBorder="1" applyAlignment="1" applyProtection="1">
      <alignment horizontal="center" vertical="center"/>
      <protection/>
    </xf>
    <xf numFmtId="166" fontId="29" fillId="5" borderId="25" xfId="0" applyNumberFormat="1" applyFont="1" applyFill="1" applyBorder="1" applyAlignment="1" applyProtection="1">
      <alignment horizontal="center" vertical="center"/>
      <protection/>
    </xf>
    <xf numFmtId="166" fontId="29" fillId="5" borderId="26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4" fillId="2" borderId="0" xfId="0" applyFont="1" applyFill="1" applyBorder="1" applyAlignment="1" applyProtection="1">
      <alignment horizontal="center" textRotation="19"/>
      <protection/>
    </xf>
    <xf numFmtId="0" fontId="51" fillId="6" borderId="33" xfId="0" applyFont="1" applyFill="1" applyBorder="1" applyAlignment="1" applyProtection="1">
      <alignment horizontal="center" vertical="center" wrapText="1"/>
      <protection/>
    </xf>
    <xf numFmtId="0" fontId="51" fillId="6" borderId="34" xfId="0" applyFont="1" applyFill="1" applyBorder="1" applyAlignment="1" applyProtection="1">
      <alignment horizontal="center" vertical="center" wrapText="1"/>
      <protection/>
    </xf>
    <xf numFmtId="0" fontId="51" fillId="6" borderId="35" xfId="0" applyFont="1" applyFill="1" applyBorder="1" applyAlignment="1" applyProtection="1">
      <alignment horizontal="center" vertical="center" wrapText="1"/>
      <protection/>
    </xf>
    <xf numFmtId="2" fontId="4" fillId="7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36" xfId="0" applyFont="1" applyFill="1" applyBorder="1" applyAlignment="1" applyProtection="1">
      <alignment horizontal="center"/>
      <protection locked="0"/>
    </xf>
    <xf numFmtId="0" fontId="28" fillId="5" borderId="37" xfId="0" applyFont="1" applyFill="1" applyBorder="1" applyAlignment="1" applyProtection="1">
      <alignment horizontal="center"/>
      <protection locked="0"/>
    </xf>
    <xf numFmtId="0" fontId="53" fillId="3" borderId="38" xfId="0" applyFont="1" applyFill="1" applyBorder="1" applyAlignment="1" applyProtection="1">
      <alignment horizontal="center"/>
      <protection/>
    </xf>
    <xf numFmtId="2" fontId="4" fillId="7" borderId="27" xfId="0" applyNumberFormat="1" applyFont="1" applyFill="1" applyBorder="1" applyAlignment="1" applyProtection="1">
      <alignment horizontal="center" vertical="center" wrapText="1"/>
      <protection locked="0"/>
    </xf>
    <xf numFmtId="2" fontId="4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3" xfId="0" applyFont="1" applyFill="1" applyBorder="1" applyAlignment="1" applyProtection="1">
      <alignment horizontal="center" vertical="center" wrapText="1"/>
      <protection/>
    </xf>
    <xf numFmtId="0" fontId="4" fillId="8" borderId="25" xfId="0" applyFont="1" applyFill="1" applyBorder="1" applyAlignment="1" applyProtection="1">
      <alignment horizontal="center" vertical="center" wrapText="1"/>
      <protection locked="0"/>
    </xf>
    <xf numFmtId="0" fontId="29" fillId="8" borderId="26" xfId="0" applyFont="1" applyFill="1" applyBorder="1" applyAlignment="1" applyProtection="1">
      <alignment horizontal="center" vertical="center" wrapText="1"/>
      <protection locked="0"/>
    </xf>
  </cellXfs>
  <cellStyles count="11">
    <cellStyle name="Normal" xfId="0"/>
    <cellStyle name="Comma" xfId="15"/>
    <cellStyle name="Comma [0]" xfId="16"/>
    <cellStyle name="Comma_SABOLT ULLAGE " xfId="17"/>
    <cellStyle name="Currency" xfId="18"/>
    <cellStyle name="Currency [0]" xfId="19"/>
    <cellStyle name="Followed Hyperlink" xfId="20"/>
    <cellStyle name="Hyperlink" xfId="21"/>
    <cellStyle name="Normal_SABOLT ULLAGE " xfId="22"/>
    <cellStyle name="Percent" xfId="23"/>
    <cellStyle name="一般_Bunker-Diese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38100</xdr:rowOff>
    </xdr:from>
    <xdr:to>
      <xdr:col>16</xdr:col>
      <xdr:colOff>323850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4775" y="38100"/>
          <a:ext cx="90582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CCFF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ASTM SOFTWARE</a:t>
          </a:r>
        </a:p>
      </xdr:txBody>
    </xdr:sp>
    <xdr:clientData/>
  </xdr:twoCellAnchor>
  <xdr:twoCellAnchor>
    <xdr:from>
      <xdr:col>14</xdr:col>
      <xdr:colOff>19050</xdr:colOff>
      <xdr:row>22</xdr:row>
      <xdr:rowOff>28575</xdr:rowOff>
    </xdr:from>
    <xdr:to>
      <xdr:col>14</xdr:col>
      <xdr:colOff>390525</xdr:colOff>
      <xdr:row>22</xdr:row>
      <xdr:rowOff>133350</xdr:rowOff>
    </xdr:to>
    <xdr:sp>
      <xdr:nvSpPr>
        <xdr:cNvPr id="2" name="Line 23"/>
        <xdr:cNvSpPr>
          <a:spLocks/>
        </xdr:cNvSpPr>
      </xdr:nvSpPr>
      <xdr:spPr>
        <a:xfrm flipH="1">
          <a:off x="7848600" y="5029200"/>
          <a:ext cx="371475" cy="104775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</xdr:row>
      <xdr:rowOff>200025</xdr:rowOff>
    </xdr:from>
    <xdr:to>
      <xdr:col>11</xdr:col>
      <xdr:colOff>28575</xdr:colOff>
      <xdr:row>4</xdr:row>
      <xdr:rowOff>266700</xdr:rowOff>
    </xdr:to>
    <xdr:sp>
      <xdr:nvSpPr>
        <xdr:cNvPr id="3" name="AutoShape 24"/>
        <xdr:cNvSpPr>
          <a:spLocks/>
        </xdr:cNvSpPr>
      </xdr:nvSpPr>
      <xdr:spPr>
        <a:xfrm>
          <a:off x="2933700" y="685800"/>
          <a:ext cx="30861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FOR 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B127"/>
  <sheetViews>
    <sheetView tabSelected="1" workbookViewId="0" topLeftCell="A1">
      <selection activeCell="H8" sqref="H8:H9"/>
    </sheetView>
  </sheetViews>
  <sheetFormatPr defaultColWidth="9.140625" defaultRowHeight="12.75"/>
  <cols>
    <col min="1" max="4" width="0.13671875" style="109" customWidth="1"/>
    <col min="5" max="5" width="27.140625" style="109" customWidth="1"/>
    <col min="6" max="6" width="3.7109375" style="109" customWidth="1"/>
    <col min="7" max="7" width="12.7109375" style="109" customWidth="1"/>
    <col min="8" max="8" width="13.57421875" style="109" customWidth="1"/>
    <col min="9" max="10" width="8.7109375" style="109" customWidth="1"/>
    <col min="11" max="12" width="14.7109375" style="109" customWidth="1"/>
    <col min="13" max="13" width="3.7109375" style="109" customWidth="1"/>
    <col min="14" max="14" width="9.140625" style="109" customWidth="1"/>
    <col min="15" max="15" width="7.7109375" style="109" customWidth="1"/>
    <col min="16" max="16" width="7.421875" style="109" customWidth="1"/>
    <col min="17" max="17" width="7.140625" style="109" customWidth="1"/>
    <col min="18" max="16384" width="9.140625" style="109" customWidth="1"/>
  </cols>
  <sheetData>
    <row r="1" spans="5:17" ht="12.75">
      <c r="E1" s="110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</row>
    <row r="2" spans="5:17" ht="12.75"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5:17" ht="12.75">
      <c r="E3" s="11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5:17" ht="28.5" customHeight="1">
      <c r="E4" s="11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5:17" ht="38.25" customHeight="1" thickBot="1">
      <c r="E5" s="113"/>
      <c r="F5" s="114"/>
      <c r="G5" s="114"/>
      <c r="H5" s="114"/>
      <c r="I5" s="114"/>
      <c r="J5" s="114"/>
      <c r="K5" s="114"/>
      <c r="L5" s="114"/>
      <c r="M5" s="114"/>
      <c r="N5" s="114"/>
      <c r="O5" s="206"/>
      <c r="P5" s="114"/>
      <c r="Q5" s="115"/>
    </row>
    <row r="6" spans="5:17" ht="4.5" customHeight="1" thickBot="1">
      <c r="E6" s="113"/>
      <c r="F6" s="116"/>
      <c r="G6" s="117"/>
      <c r="H6" s="117"/>
      <c r="I6" s="117"/>
      <c r="J6" s="117"/>
      <c r="K6" s="117"/>
      <c r="L6" s="117"/>
      <c r="M6" s="118"/>
      <c r="N6" s="114"/>
      <c r="O6" s="206"/>
      <c r="P6" s="114"/>
      <c r="Q6" s="115"/>
    </row>
    <row r="7" spans="5:17" ht="36" customHeight="1" thickBot="1">
      <c r="E7" s="113"/>
      <c r="F7" s="119"/>
      <c r="G7" s="226" t="s">
        <v>83</v>
      </c>
      <c r="H7" s="120" t="s">
        <v>0</v>
      </c>
      <c r="I7" s="224" t="s">
        <v>1</v>
      </c>
      <c r="J7" s="224"/>
      <c r="K7" s="205"/>
      <c r="L7" s="226" t="s">
        <v>84</v>
      </c>
      <c r="M7" s="121"/>
      <c r="N7" s="114"/>
      <c r="O7" s="207"/>
      <c r="P7" s="114"/>
      <c r="Q7" s="115"/>
    </row>
    <row r="8" spans="5:17" ht="18" customHeight="1" thickBot="1">
      <c r="E8" s="113"/>
      <c r="F8" s="119"/>
      <c r="G8" s="227"/>
      <c r="H8" s="234">
        <v>-5.4</v>
      </c>
      <c r="I8" s="229">
        <v>85</v>
      </c>
      <c r="J8" s="230"/>
      <c r="K8" s="237"/>
      <c r="L8" s="227"/>
      <c r="M8" s="121"/>
      <c r="N8" s="114"/>
      <c r="O8" s="206"/>
      <c r="P8" s="114"/>
      <c r="Q8" s="115"/>
    </row>
    <row r="9" spans="5:17" ht="19.5" customHeight="1" thickBot="1">
      <c r="E9" s="113"/>
      <c r="F9" s="119"/>
      <c r="G9" s="228"/>
      <c r="H9" s="235"/>
      <c r="I9" s="231" t="s">
        <v>86</v>
      </c>
      <c r="J9" s="232"/>
      <c r="K9" s="238"/>
      <c r="L9" s="228"/>
      <c r="M9" s="121"/>
      <c r="N9" s="114"/>
      <c r="O9" s="206"/>
      <c r="P9" s="114"/>
      <c r="Q9" s="115"/>
    </row>
    <row r="10" spans="5:17" ht="13.5" customHeight="1" thickBot="1">
      <c r="E10" s="113"/>
      <c r="F10" s="122"/>
      <c r="G10" s="123"/>
      <c r="H10" s="233" t="s">
        <v>85</v>
      </c>
      <c r="I10" s="233"/>
      <c r="J10" s="233"/>
      <c r="K10" s="233"/>
      <c r="L10" s="123"/>
      <c r="M10" s="124"/>
      <c r="N10" s="114"/>
      <c r="O10" s="114"/>
      <c r="P10" s="114"/>
      <c r="Q10" s="115"/>
    </row>
    <row r="11" spans="5:17" ht="4.5" customHeight="1" thickBot="1"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</row>
    <row r="12" spans="5:19" ht="12" customHeight="1" thickBot="1">
      <c r="E12" s="113"/>
      <c r="F12" s="116"/>
      <c r="G12" s="117"/>
      <c r="H12" s="117"/>
      <c r="I12" s="117"/>
      <c r="J12" s="117"/>
      <c r="K12" s="117"/>
      <c r="L12" s="117"/>
      <c r="M12" s="118"/>
      <c r="N12" s="114"/>
      <c r="O12" s="114"/>
      <c r="P12" s="114"/>
      <c r="Q12" s="115"/>
      <c r="R12" s="125"/>
      <c r="S12" s="125"/>
    </row>
    <row r="13" spans="5:21" s="126" customFormat="1" ht="49.5" customHeight="1" thickBot="1">
      <c r="E13" s="127"/>
      <c r="F13" s="128"/>
      <c r="G13" s="129" t="s">
        <v>0</v>
      </c>
      <c r="H13" s="130" t="s">
        <v>5</v>
      </c>
      <c r="I13" s="236" t="s">
        <v>4</v>
      </c>
      <c r="J13" s="236"/>
      <c r="K13" s="130" t="s">
        <v>2</v>
      </c>
      <c r="L13" s="131" t="s">
        <v>3</v>
      </c>
      <c r="M13" s="132"/>
      <c r="N13" s="133"/>
      <c r="O13" s="133"/>
      <c r="P13" s="133"/>
      <c r="Q13" s="134"/>
      <c r="R13" s="135"/>
      <c r="S13" s="135"/>
      <c r="T13" s="135"/>
      <c r="U13" s="135"/>
    </row>
    <row r="14" spans="5:17" ht="12.75" customHeight="1">
      <c r="E14" s="113"/>
      <c r="F14" s="119"/>
      <c r="G14" s="214">
        <f>H8</f>
        <v>-5.4</v>
      </c>
      <c r="H14" s="214">
        <f>IF(I9="F",I8,(I8*1.8)+32)</f>
        <v>185</v>
      </c>
      <c r="I14" s="216">
        <f>'.'!J10</f>
        <v>0.9591</v>
      </c>
      <c r="J14" s="217"/>
      <c r="K14" s="222">
        <f>ROUND(((141.3847/(H8+131.5))-0.0012171)*4.172614*0.042*0.907185,5)</f>
        <v>0.17806</v>
      </c>
      <c r="L14" s="222">
        <f>ROUND(((141.3847/(H8+131.5))-0.0012171)*4.172614*0.042*0.892857,5)</f>
        <v>0.17525</v>
      </c>
      <c r="M14" s="121"/>
      <c r="N14" s="114"/>
      <c r="O14" s="114"/>
      <c r="P14" s="114"/>
      <c r="Q14" s="115"/>
    </row>
    <row r="15" spans="5:18" ht="13.5" customHeight="1" thickBot="1">
      <c r="E15" s="113"/>
      <c r="F15" s="119"/>
      <c r="G15" s="215"/>
      <c r="H15" s="215"/>
      <c r="I15" s="218"/>
      <c r="J15" s="219"/>
      <c r="K15" s="223"/>
      <c r="L15" s="223"/>
      <c r="M15" s="121"/>
      <c r="N15" s="136"/>
      <c r="O15" s="136"/>
      <c r="P15" s="136"/>
      <c r="Q15" s="137"/>
      <c r="R15" s="138"/>
    </row>
    <row r="16" spans="2:18" ht="12" customHeight="1" thickBot="1">
      <c r="B16" s="139"/>
      <c r="C16" s="139"/>
      <c r="D16" s="140"/>
      <c r="E16" s="141"/>
      <c r="F16" s="122"/>
      <c r="G16" s="123"/>
      <c r="H16" s="142"/>
      <c r="I16" s="143"/>
      <c r="J16" s="143"/>
      <c r="K16" s="144"/>
      <c r="L16" s="144"/>
      <c r="M16" s="124"/>
      <c r="N16" s="136"/>
      <c r="O16" s="136"/>
      <c r="P16" s="136"/>
      <c r="Q16" s="137"/>
      <c r="R16" s="138"/>
    </row>
    <row r="17" spans="2:18" ht="4.5" customHeight="1" thickBot="1">
      <c r="B17" s="139"/>
      <c r="C17" s="139"/>
      <c r="D17" s="140"/>
      <c r="E17" s="141"/>
      <c r="F17" s="114"/>
      <c r="G17" s="114"/>
      <c r="H17" s="145"/>
      <c r="I17" s="146"/>
      <c r="J17" s="146"/>
      <c r="K17" s="147"/>
      <c r="L17" s="147"/>
      <c r="M17" s="114"/>
      <c r="N17" s="136"/>
      <c r="O17" s="136"/>
      <c r="P17" s="136"/>
      <c r="Q17" s="137"/>
      <c r="R17" s="138"/>
    </row>
    <row r="18" spans="5:17" ht="12" customHeight="1">
      <c r="E18" s="113"/>
      <c r="F18" s="116"/>
      <c r="G18" s="117"/>
      <c r="H18" s="117"/>
      <c r="I18" s="117"/>
      <c r="J18" s="117"/>
      <c r="K18" s="117"/>
      <c r="L18" s="117"/>
      <c r="M18" s="118"/>
      <c r="N18" s="114"/>
      <c r="O18" s="114"/>
      <c r="P18" s="114"/>
      <c r="Q18" s="115"/>
    </row>
    <row r="19" spans="5:17" ht="0.75" customHeight="1" thickBot="1">
      <c r="E19" s="113"/>
      <c r="F19" s="119"/>
      <c r="G19" s="125"/>
      <c r="H19" s="125"/>
      <c r="I19" s="125"/>
      <c r="J19" s="125"/>
      <c r="K19" s="125"/>
      <c r="L19" s="125"/>
      <c r="M19" s="121"/>
      <c r="N19" s="114"/>
      <c r="O19" s="114"/>
      <c r="P19" s="114"/>
      <c r="Q19" s="115"/>
    </row>
    <row r="20" spans="2:17" s="135" customFormat="1" ht="49.5" customHeight="1" thickBot="1">
      <c r="B20" s="148" t="s">
        <v>9</v>
      </c>
      <c r="E20" s="149"/>
      <c r="F20" s="150"/>
      <c r="G20" s="151" t="s">
        <v>10</v>
      </c>
      <c r="H20" s="152" t="s">
        <v>6</v>
      </c>
      <c r="I20" s="213" t="s">
        <v>7</v>
      </c>
      <c r="J20" s="213"/>
      <c r="K20" s="152" t="s">
        <v>8</v>
      </c>
      <c r="L20" s="153" t="s">
        <v>76</v>
      </c>
      <c r="M20" s="154"/>
      <c r="N20" s="133"/>
      <c r="O20" s="133"/>
      <c r="P20" s="133"/>
      <c r="Q20" s="134"/>
    </row>
    <row r="21" spans="2:17" ht="12.75">
      <c r="B21" s="210">
        <f>(141.5)/(H8+131.5)</f>
        <v>1.1221252973830294</v>
      </c>
      <c r="E21" s="113"/>
      <c r="F21" s="119"/>
      <c r="G21" s="211">
        <f>(IF(B21&gt;1.033,B21-0.0007,IF(B21&gt;0.941,B21-0.0006,IF(B21&gt;0.852,B21-0.0005,IF(B21&gt;0.786,B21-0.0004,IF(B21&gt;0.757,B21-0.0003,IF(B21&gt;0.683,B21-0.0002,B21-0.0001)))))))</f>
        <v>1.1214252973830294</v>
      </c>
      <c r="H21" s="214">
        <f>IF(I9="C",I8,(I8-32)/1.8)</f>
        <v>85</v>
      </c>
      <c r="I21" s="216" t="str">
        <f>IF(H8&lt;0,"NO INFO",','!J10)</f>
        <v>NO INFO</v>
      </c>
      <c r="J21" s="217"/>
      <c r="K21" s="220">
        <f>G21-0.0011</f>
        <v>1.1203252973830293</v>
      </c>
      <c r="L21" s="208">
        <f>IF(G21&gt;1.074,6.291,IF(G21&gt;0.901,6.292,IF(G21&gt;0.778,6.293,IF(G21&gt;0.697,6.294,6.295))))</f>
        <v>6.291</v>
      </c>
      <c r="M21" s="121"/>
      <c r="N21" s="114"/>
      <c r="O21" s="114"/>
      <c r="P21" s="114"/>
      <c r="Q21" s="115"/>
    </row>
    <row r="22" spans="2:17" ht="13.5" thickBot="1">
      <c r="B22" s="210"/>
      <c r="E22" s="113"/>
      <c r="F22" s="119"/>
      <c r="G22" s="212"/>
      <c r="H22" s="215"/>
      <c r="I22" s="218"/>
      <c r="J22" s="219"/>
      <c r="K22" s="221"/>
      <c r="L22" s="209"/>
      <c r="M22" s="121"/>
      <c r="N22" s="114"/>
      <c r="O22" s="225" t="s">
        <v>77</v>
      </c>
      <c r="P22" s="114"/>
      <c r="Q22" s="115"/>
    </row>
    <row r="23" spans="5:17" ht="12" customHeight="1" thickBot="1">
      <c r="E23" s="113"/>
      <c r="F23" s="122"/>
      <c r="G23" s="123"/>
      <c r="H23" s="123"/>
      <c r="I23" s="123"/>
      <c r="J23" s="123"/>
      <c r="K23" s="123"/>
      <c r="L23" s="123"/>
      <c r="M23" s="124"/>
      <c r="N23" s="114"/>
      <c r="O23" s="225"/>
      <c r="P23" s="114"/>
      <c r="Q23" s="115"/>
    </row>
    <row r="24" spans="5:17" ht="34.5" customHeight="1" thickBot="1"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7"/>
    </row>
    <row r="25" spans="5:17" ht="12.75"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5:17" ht="12.75"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4:17" ht="12.75">
      <c r="D27" s="159"/>
      <c r="E27" s="160"/>
      <c r="F27" s="160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4:6" ht="12.75">
      <c r="D28" s="159"/>
      <c r="E28" s="159"/>
      <c r="F28" s="159"/>
    </row>
    <row r="29" spans="3:7" ht="12.75">
      <c r="C29" s="161"/>
      <c r="D29" s="159"/>
      <c r="E29" s="159"/>
      <c r="F29" s="159"/>
      <c r="G29" s="159"/>
    </row>
    <row r="30" spans="4:6" ht="12.75">
      <c r="D30" s="162"/>
      <c r="E30" s="162"/>
      <c r="F30" s="161"/>
    </row>
    <row r="43" spans="2:54" ht="15.75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164"/>
      <c r="P43" s="165"/>
      <c r="Q43" s="165"/>
      <c r="R43" s="165"/>
      <c r="S43" s="165"/>
      <c r="T43" s="164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</row>
    <row r="44" spans="2:54" ht="20.25">
      <c r="B44" s="167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4"/>
      <c r="O44" s="164"/>
      <c r="P44" s="165"/>
      <c r="Q44" s="165"/>
      <c r="R44" s="165"/>
      <c r="S44" s="165"/>
      <c r="T44" s="164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</row>
    <row r="45" spans="2:54" ht="15.7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164"/>
      <c r="P45" s="165"/>
      <c r="Q45" s="165"/>
      <c r="R45" s="165"/>
      <c r="S45" s="165"/>
      <c r="T45" s="164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</row>
    <row r="46" spans="2:54" ht="15.75">
      <c r="B46" s="168"/>
      <c r="C46" s="163"/>
      <c r="D46" s="163"/>
      <c r="E46" s="163"/>
      <c r="F46" s="163"/>
      <c r="G46" s="163"/>
      <c r="H46" s="169"/>
      <c r="I46" s="163"/>
      <c r="J46" s="163"/>
      <c r="K46" s="163"/>
      <c r="L46" s="163"/>
      <c r="M46" s="163"/>
      <c r="N46" s="164"/>
      <c r="O46" s="165"/>
      <c r="P46" s="165"/>
      <c r="Q46" s="165"/>
      <c r="R46" s="165"/>
      <c r="S46" s="165"/>
      <c r="T46" s="164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</row>
    <row r="47" spans="2:54" ht="15.75">
      <c r="B47" s="168"/>
      <c r="C47" s="163"/>
      <c r="D47" s="163"/>
      <c r="E47" s="163"/>
      <c r="F47" s="163"/>
      <c r="G47" s="163"/>
      <c r="H47" s="169"/>
      <c r="I47" s="163"/>
      <c r="J47" s="163"/>
      <c r="K47" s="163"/>
      <c r="L47" s="163"/>
      <c r="M47" s="163"/>
      <c r="N47" s="164"/>
      <c r="O47" s="164"/>
      <c r="P47" s="165"/>
      <c r="Q47" s="165"/>
      <c r="R47" s="165"/>
      <c r="S47" s="165"/>
      <c r="T47" s="164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</row>
    <row r="48" spans="2:54" ht="15.75">
      <c r="B48" s="168"/>
      <c r="C48" s="163"/>
      <c r="D48" s="168"/>
      <c r="E48" s="168"/>
      <c r="F48" s="163"/>
      <c r="G48" s="163"/>
      <c r="H48" s="168"/>
      <c r="I48" s="168"/>
      <c r="J48" s="168"/>
      <c r="K48" s="163"/>
      <c r="L48" s="163"/>
      <c r="M48" s="163"/>
      <c r="N48" s="164"/>
      <c r="O48" s="170"/>
      <c r="P48" s="165"/>
      <c r="Q48" s="165"/>
      <c r="R48" s="165"/>
      <c r="S48" s="165"/>
      <c r="T48" s="164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</row>
    <row r="49" spans="2:54" ht="15.75">
      <c r="B49" s="171"/>
      <c r="C49" s="171"/>
      <c r="D49" s="171"/>
      <c r="E49" s="171"/>
      <c r="F49" s="171"/>
      <c r="G49" s="172"/>
      <c r="H49" s="171"/>
      <c r="I49" s="171"/>
      <c r="J49" s="171"/>
      <c r="K49" s="171"/>
      <c r="L49" s="171"/>
      <c r="M49" s="171"/>
      <c r="N49" s="164"/>
      <c r="O49" s="165"/>
      <c r="P49" s="165"/>
      <c r="Q49" s="165"/>
      <c r="R49" s="165"/>
      <c r="S49" s="165"/>
      <c r="T49" s="164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</row>
    <row r="50" spans="2:54" ht="15.75">
      <c r="B50" s="171"/>
      <c r="C50" s="171"/>
      <c r="D50" s="171"/>
      <c r="E50" s="171"/>
      <c r="F50" s="171"/>
      <c r="G50" s="172"/>
      <c r="H50" s="171"/>
      <c r="I50" s="171"/>
      <c r="J50" s="171"/>
      <c r="K50" s="171"/>
      <c r="L50" s="171"/>
      <c r="M50" s="171"/>
      <c r="N50" s="164"/>
      <c r="O50" s="165"/>
      <c r="P50" s="164"/>
      <c r="Q50" s="164"/>
      <c r="R50" s="164"/>
      <c r="S50" s="164"/>
      <c r="T50" s="164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</row>
    <row r="51" spans="2:54" ht="15.75">
      <c r="B51" s="171"/>
      <c r="C51" s="171"/>
      <c r="D51" s="171"/>
      <c r="E51" s="171"/>
      <c r="F51" s="172"/>
      <c r="G51" s="172"/>
      <c r="H51" s="171"/>
      <c r="I51" s="171"/>
      <c r="J51" s="172"/>
      <c r="K51" s="173"/>
      <c r="L51" s="171"/>
      <c r="M51" s="171"/>
      <c r="N51" s="164"/>
      <c r="O51" s="165"/>
      <c r="P51" s="164"/>
      <c r="Q51" s="164"/>
      <c r="R51" s="164"/>
      <c r="S51" s="164"/>
      <c r="T51" s="164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</row>
    <row r="52" spans="2:54" ht="15.75">
      <c r="B52" s="174"/>
      <c r="C52" s="175"/>
      <c r="D52" s="175"/>
      <c r="E52" s="175"/>
      <c r="F52" s="176"/>
      <c r="G52" s="177"/>
      <c r="H52" s="178"/>
      <c r="I52" s="179"/>
      <c r="J52" s="180"/>
      <c r="K52" s="181"/>
      <c r="L52" s="182"/>
      <c r="M52" s="178"/>
      <c r="N52" s="165"/>
      <c r="O52" s="165"/>
      <c r="P52" s="165"/>
      <c r="Q52" s="165"/>
      <c r="R52" s="165"/>
      <c r="S52" s="165"/>
      <c r="T52" s="164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</row>
    <row r="53" spans="2:54" ht="15.75">
      <c r="B53" s="174"/>
      <c r="C53" s="175"/>
      <c r="D53" s="175"/>
      <c r="E53" s="175"/>
      <c r="F53" s="176"/>
      <c r="G53" s="174"/>
      <c r="H53" s="178"/>
      <c r="I53" s="178"/>
      <c r="J53" s="180"/>
      <c r="K53" s="181"/>
      <c r="L53" s="182"/>
      <c r="M53" s="178"/>
      <c r="N53" s="165"/>
      <c r="O53" s="165"/>
      <c r="P53" s="165"/>
      <c r="Q53" s="165"/>
      <c r="R53" s="165"/>
      <c r="S53" s="165"/>
      <c r="T53" s="164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</row>
    <row r="54" spans="2:54" ht="15.75">
      <c r="B54" s="174"/>
      <c r="C54" s="175"/>
      <c r="D54" s="175"/>
      <c r="E54" s="175"/>
      <c r="F54" s="176"/>
      <c r="G54" s="174"/>
      <c r="H54" s="178"/>
      <c r="I54" s="178"/>
      <c r="J54" s="180"/>
      <c r="K54" s="181"/>
      <c r="L54" s="182"/>
      <c r="M54" s="178"/>
      <c r="N54" s="165"/>
      <c r="O54" s="165"/>
      <c r="P54" s="165"/>
      <c r="Q54" s="165"/>
      <c r="R54" s="165"/>
      <c r="S54" s="165"/>
      <c r="T54" s="164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</row>
    <row r="55" spans="2:54" ht="15.75">
      <c r="B55" s="174"/>
      <c r="C55" s="175"/>
      <c r="D55" s="175"/>
      <c r="E55" s="175"/>
      <c r="F55" s="176"/>
      <c r="G55" s="174"/>
      <c r="H55" s="178"/>
      <c r="I55" s="178"/>
      <c r="J55" s="180"/>
      <c r="K55" s="181"/>
      <c r="L55" s="182"/>
      <c r="M55" s="178"/>
      <c r="N55" s="165"/>
      <c r="O55" s="165"/>
      <c r="P55" s="165"/>
      <c r="Q55" s="165"/>
      <c r="R55" s="165"/>
      <c r="S55" s="165"/>
      <c r="T55" s="164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</row>
    <row r="56" spans="2:54" ht="15.75">
      <c r="B56" s="174"/>
      <c r="C56" s="175"/>
      <c r="D56" s="175"/>
      <c r="E56" s="175"/>
      <c r="F56" s="176"/>
      <c r="G56" s="174"/>
      <c r="H56" s="178"/>
      <c r="I56" s="178"/>
      <c r="J56" s="180"/>
      <c r="K56" s="181"/>
      <c r="L56" s="182"/>
      <c r="M56" s="178"/>
      <c r="N56" s="165"/>
      <c r="O56" s="165"/>
      <c r="P56" s="165"/>
      <c r="Q56" s="165"/>
      <c r="R56" s="165"/>
      <c r="S56" s="165"/>
      <c r="T56" s="164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</row>
    <row r="57" spans="2:54" ht="15.75">
      <c r="B57" s="174"/>
      <c r="C57" s="175"/>
      <c r="D57" s="175"/>
      <c r="E57" s="175"/>
      <c r="F57" s="176"/>
      <c r="G57" s="174"/>
      <c r="H57" s="178"/>
      <c r="I57" s="178"/>
      <c r="J57" s="180"/>
      <c r="K57" s="181"/>
      <c r="L57" s="182"/>
      <c r="M57" s="178"/>
      <c r="N57" s="165"/>
      <c r="O57" s="165"/>
      <c r="P57" s="165"/>
      <c r="Q57" s="165"/>
      <c r="R57" s="165"/>
      <c r="S57" s="165"/>
      <c r="T57" s="164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</row>
    <row r="58" spans="2:54" ht="15.75">
      <c r="B58" s="174"/>
      <c r="C58" s="175"/>
      <c r="D58" s="175"/>
      <c r="E58" s="175"/>
      <c r="F58" s="176"/>
      <c r="G58" s="174"/>
      <c r="H58" s="178"/>
      <c r="I58" s="178"/>
      <c r="J58" s="180"/>
      <c r="K58" s="181"/>
      <c r="L58" s="182"/>
      <c r="M58" s="178"/>
      <c r="N58" s="165"/>
      <c r="O58" s="165"/>
      <c r="P58" s="165"/>
      <c r="Q58" s="165"/>
      <c r="R58" s="165"/>
      <c r="S58" s="165"/>
      <c r="T58" s="164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</row>
    <row r="59" spans="2:54" ht="15.75">
      <c r="B59" s="174"/>
      <c r="C59" s="175"/>
      <c r="D59" s="175"/>
      <c r="E59" s="175"/>
      <c r="F59" s="176"/>
      <c r="G59" s="174"/>
      <c r="H59" s="178"/>
      <c r="I59" s="178"/>
      <c r="J59" s="180"/>
      <c r="K59" s="181"/>
      <c r="L59" s="182"/>
      <c r="M59" s="178"/>
      <c r="N59" s="165"/>
      <c r="O59" s="165"/>
      <c r="P59" s="165"/>
      <c r="Q59" s="165"/>
      <c r="R59" s="165"/>
      <c r="S59" s="165"/>
      <c r="T59" s="164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</row>
    <row r="60" spans="2:54" ht="15.75">
      <c r="B60" s="174"/>
      <c r="C60" s="175"/>
      <c r="D60" s="175"/>
      <c r="E60" s="175"/>
      <c r="F60" s="176"/>
      <c r="G60" s="174"/>
      <c r="H60" s="178"/>
      <c r="I60" s="178"/>
      <c r="J60" s="180"/>
      <c r="K60" s="181"/>
      <c r="L60" s="182"/>
      <c r="M60" s="178"/>
      <c r="N60" s="165"/>
      <c r="O60" s="165"/>
      <c r="P60" s="165"/>
      <c r="Q60" s="165"/>
      <c r="R60" s="165"/>
      <c r="S60" s="165"/>
      <c r="T60" s="164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</row>
    <row r="61" spans="2:54" ht="15.75">
      <c r="B61" s="174"/>
      <c r="C61" s="175"/>
      <c r="D61" s="175"/>
      <c r="E61" s="175"/>
      <c r="F61" s="176"/>
      <c r="G61" s="174"/>
      <c r="H61" s="178"/>
      <c r="I61" s="178"/>
      <c r="J61" s="180"/>
      <c r="K61" s="181"/>
      <c r="L61" s="182"/>
      <c r="M61" s="178"/>
      <c r="N61" s="165"/>
      <c r="O61" s="165"/>
      <c r="P61" s="165"/>
      <c r="Q61" s="165"/>
      <c r="R61" s="165"/>
      <c r="S61" s="165"/>
      <c r="T61" s="164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</row>
    <row r="62" spans="2:54" ht="15.75">
      <c r="B62" s="174"/>
      <c r="C62" s="175"/>
      <c r="D62" s="175"/>
      <c r="E62" s="175"/>
      <c r="F62" s="176"/>
      <c r="G62" s="174"/>
      <c r="H62" s="178"/>
      <c r="I62" s="178"/>
      <c r="J62" s="180"/>
      <c r="K62" s="181"/>
      <c r="L62" s="182"/>
      <c r="M62" s="178"/>
      <c r="N62" s="165"/>
      <c r="O62" s="165"/>
      <c r="P62" s="165"/>
      <c r="Q62" s="165"/>
      <c r="R62" s="165"/>
      <c r="S62" s="165"/>
      <c r="T62" s="164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</row>
    <row r="63" spans="2:54" ht="15.75">
      <c r="B63" s="174"/>
      <c r="C63" s="175"/>
      <c r="D63" s="175"/>
      <c r="E63" s="175"/>
      <c r="F63" s="176"/>
      <c r="G63" s="174"/>
      <c r="H63" s="178"/>
      <c r="I63" s="178"/>
      <c r="J63" s="180"/>
      <c r="K63" s="181"/>
      <c r="L63" s="182"/>
      <c r="M63" s="178"/>
      <c r="N63" s="165"/>
      <c r="O63" s="165"/>
      <c r="P63" s="165"/>
      <c r="Q63" s="165"/>
      <c r="R63" s="165"/>
      <c r="S63" s="165"/>
      <c r="T63" s="164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</row>
    <row r="64" spans="2:54" ht="15.75">
      <c r="B64" s="174"/>
      <c r="C64" s="183"/>
      <c r="D64" s="183"/>
      <c r="E64" s="183"/>
      <c r="F64" s="184"/>
      <c r="G64" s="163"/>
      <c r="H64" s="185"/>
      <c r="I64" s="185"/>
      <c r="J64" s="186"/>
      <c r="K64" s="187"/>
      <c r="L64" s="188"/>
      <c r="M64" s="185"/>
      <c r="N64" s="165"/>
      <c r="O64" s="165"/>
      <c r="P64" s="165"/>
      <c r="Q64" s="165"/>
      <c r="R64" s="165"/>
      <c r="S64" s="165"/>
      <c r="T64" s="164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</row>
    <row r="65" spans="2:54" ht="15.75">
      <c r="B65" s="174"/>
      <c r="C65" s="183"/>
      <c r="D65" s="183"/>
      <c r="E65" s="183"/>
      <c r="F65" s="184"/>
      <c r="G65" s="163"/>
      <c r="H65" s="185"/>
      <c r="I65" s="185"/>
      <c r="J65" s="186"/>
      <c r="K65" s="187"/>
      <c r="L65" s="188"/>
      <c r="M65" s="185"/>
      <c r="N65" s="165"/>
      <c r="O65" s="165"/>
      <c r="P65" s="165"/>
      <c r="Q65" s="165"/>
      <c r="R65" s="165"/>
      <c r="S65" s="165"/>
      <c r="T65" s="164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</row>
    <row r="66" spans="2:54" ht="15.75">
      <c r="B66" s="174"/>
      <c r="C66" s="183"/>
      <c r="D66" s="183"/>
      <c r="E66" s="183"/>
      <c r="F66" s="184"/>
      <c r="G66" s="163"/>
      <c r="H66" s="185"/>
      <c r="I66" s="185"/>
      <c r="J66" s="186"/>
      <c r="K66" s="187"/>
      <c r="L66" s="188"/>
      <c r="M66" s="185"/>
      <c r="N66" s="165"/>
      <c r="O66" s="165"/>
      <c r="P66" s="165"/>
      <c r="Q66" s="165"/>
      <c r="R66" s="165"/>
      <c r="S66" s="165"/>
      <c r="T66" s="164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</row>
    <row r="67" spans="2:54" ht="15.75">
      <c r="B67" s="174"/>
      <c r="C67" s="183"/>
      <c r="D67" s="183"/>
      <c r="E67" s="183"/>
      <c r="F67" s="184"/>
      <c r="G67" s="163"/>
      <c r="H67" s="185"/>
      <c r="I67" s="185"/>
      <c r="J67" s="186"/>
      <c r="K67" s="187"/>
      <c r="L67" s="188"/>
      <c r="M67" s="185"/>
      <c r="N67" s="165"/>
      <c r="O67" s="165"/>
      <c r="P67" s="165"/>
      <c r="Q67" s="165"/>
      <c r="R67" s="165"/>
      <c r="S67" s="165"/>
      <c r="T67" s="164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</row>
    <row r="68" spans="2:54" ht="15.75">
      <c r="B68" s="174"/>
      <c r="C68" s="183"/>
      <c r="D68" s="183"/>
      <c r="E68" s="183"/>
      <c r="F68" s="184"/>
      <c r="G68" s="163"/>
      <c r="H68" s="185"/>
      <c r="I68" s="185"/>
      <c r="J68" s="186"/>
      <c r="K68" s="187"/>
      <c r="L68" s="188"/>
      <c r="M68" s="185"/>
      <c r="N68" s="165"/>
      <c r="O68" s="165"/>
      <c r="P68" s="165"/>
      <c r="Q68" s="165"/>
      <c r="R68" s="165"/>
      <c r="S68" s="165"/>
      <c r="T68" s="164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</row>
    <row r="69" spans="2:54" ht="15.75">
      <c r="B69" s="174"/>
      <c r="C69" s="183"/>
      <c r="D69" s="183"/>
      <c r="E69" s="183"/>
      <c r="F69" s="184"/>
      <c r="G69" s="163"/>
      <c r="H69" s="185"/>
      <c r="I69" s="185"/>
      <c r="J69" s="186"/>
      <c r="K69" s="187"/>
      <c r="L69" s="188"/>
      <c r="M69" s="185"/>
      <c r="N69" s="165"/>
      <c r="O69" s="165"/>
      <c r="P69" s="165"/>
      <c r="Q69" s="165"/>
      <c r="R69" s="165"/>
      <c r="S69" s="165"/>
      <c r="T69" s="164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</row>
    <row r="70" spans="2:54" ht="15.75">
      <c r="B70" s="163"/>
      <c r="C70" s="163"/>
      <c r="D70" s="189"/>
      <c r="E70" s="189"/>
      <c r="F70" s="190"/>
      <c r="G70" s="174"/>
      <c r="H70" s="178"/>
      <c r="I70" s="190"/>
      <c r="J70" s="191"/>
      <c r="K70" s="191"/>
      <c r="L70" s="174"/>
      <c r="M70" s="190"/>
      <c r="N70" s="164"/>
      <c r="O70" s="164"/>
      <c r="P70" s="164"/>
      <c r="Q70" s="164"/>
      <c r="R70" s="164"/>
      <c r="S70" s="164"/>
      <c r="T70" s="164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</row>
    <row r="71" spans="2:54" ht="15.75"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4"/>
      <c r="O71" s="164"/>
      <c r="P71" s="164"/>
      <c r="Q71" s="164"/>
      <c r="R71" s="164"/>
      <c r="S71" s="164"/>
      <c r="T71" s="164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</row>
    <row r="72" spans="2:54" ht="15.75"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4"/>
      <c r="O72" s="164"/>
      <c r="P72" s="164"/>
      <c r="Q72" s="164"/>
      <c r="R72" s="164"/>
      <c r="S72" s="164"/>
      <c r="T72" s="164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</row>
    <row r="73" spans="2:54" ht="15.75">
      <c r="B73" s="192"/>
      <c r="C73" s="192"/>
      <c r="D73" s="192"/>
      <c r="E73" s="192"/>
      <c r="F73" s="193"/>
      <c r="G73" s="194"/>
      <c r="H73" s="168"/>
      <c r="I73" s="168"/>
      <c r="J73" s="168"/>
      <c r="K73" s="168"/>
      <c r="L73" s="168"/>
      <c r="M73" s="168"/>
      <c r="N73" s="164"/>
      <c r="O73" s="164"/>
      <c r="P73" s="164"/>
      <c r="Q73" s="164"/>
      <c r="R73" s="164"/>
      <c r="S73" s="164"/>
      <c r="T73" s="164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</row>
    <row r="74" spans="2:54" ht="15.75">
      <c r="B74" s="195"/>
      <c r="C74" s="192"/>
      <c r="D74" s="192"/>
      <c r="E74" s="192"/>
      <c r="F74" s="192"/>
      <c r="G74" s="196"/>
      <c r="H74" s="197"/>
      <c r="I74" s="168"/>
      <c r="J74" s="168"/>
      <c r="K74" s="168"/>
      <c r="L74" s="169"/>
      <c r="M74" s="198"/>
      <c r="N74" s="164"/>
      <c r="O74" s="164"/>
      <c r="P74" s="164"/>
      <c r="Q74" s="164"/>
      <c r="R74" s="164"/>
      <c r="S74" s="164"/>
      <c r="T74" s="164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</row>
    <row r="75" spans="2:54" ht="15.75">
      <c r="B75" s="195"/>
      <c r="C75" s="192"/>
      <c r="D75" s="192"/>
      <c r="E75" s="192"/>
      <c r="F75" s="192"/>
      <c r="G75" s="196"/>
      <c r="H75" s="197"/>
      <c r="I75" s="168"/>
      <c r="J75" s="168"/>
      <c r="K75" s="168"/>
      <c r="L75" s="169"/>
      <c r="M75" s="199"/>
      <c r="N75" s="164"/>
      <c r="O75" s="164"/>
      <c r="P75" s="164"/>
      <c r="Q75" s="164"/>
      <c r="R75" s="164"/>
      <c r="S75" s="164"/>
      <c r="T75" s="164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</row>
    <row r="76" spans="2:54" ht="15.75">
      <c r="B76" s="192"/>
      <c r="C76" s="192"/>
      <c r="D76" s="192"/>
      <c r="E76" s="192"/>
      <c r="F76" s="192"/>
      <c r="G76" s="168"/>
      <c r="H76" s="168"/>
      <c r="I76" s="168"/>
      <c r="J76" s="168"/>
      <c r="K76" s="168"/>
      <c r="L76" s="168"/>
      <c r="M76" s="168"/>
      <c r="N76" s="164"/>
      <c r="O76" s="164"/>
      <c r="P76" s="164"/>
      <c r="Q76" s="164"/>
      <c r="R76" s="164"/>
      <c r="S76" s="164"/>
      <c r="T76" s="164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</row>
    <row r="77" spans="2:54" ht="15.75">
      <c r="B77" s="168"/>
      <c r="C77" s="168"/>
      <c r="D77" s="168"/>
      <c r="E77" s="168"/>
      <c r="F77" s="200"/>
      <c r="G77" s="168"/>
      <c r="H77" s="168"/>
      <c r="I77" s="168"/>
      <c r="J77" s="168"/>
      <c r="K77" s="168"/>
      <c r="L77" s="200"/>
      <c r="M77" s="163"/>
      <c r="N77" s="164"/>
      <c r="O77" s="164"/>
      <c r="P77" s="164"/>
      <c r="Q77" s="164"/>
      <c r="R77" s="164"/>
      <c r="S77" s="164"/>
      <c r="T77" s="164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</row>
    <row r="78" spans="2:54" ht="15.75">
      <c r="B78" s="168"/>
      <c r="C78" s="168"/>
      <c r="D78" s="168"/>
      <c r="E78" s="168"/>
      <c r="F78" s="200"/>
      <c r="G78" s="168"/>
      <c r="H78" s="168"/>
      <c r="I78" s="168"/>
      <c r="J78" s="168"/>
      <c r="K78" s="168"/>
      <c r="L78" s="200"/>
      <c r="M78" s="163"/>
      <c r="N78" s="164"/>
      <c r="O78" s="164"/>
      <c r="P78" s="164"/>
      <c r="Q78" s="164"/>
      <c r="R78" s="164"/>
      <c r="S78" s="164"/>
      <c r="T78" s="164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</row>
    <row r="79" spans="2:54" ht="15.75"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4"/>
      <c r="O79" s="164"/>
      <c r="P79" s="164"/>
      <c r="Q79" s="164"/>
      <c r="R79" s="164"/>
      <c r="S79" s="164"/>
      <c r="T79" s="164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</row>
    <row r="80" spans="2:54" ht="15.75"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4"/>
      <c r="O80" s="164"/>
      <c r="P80" s="164"/>
      <c r="Q80" s="164"/>
      <c r="R80" s="164"/>
      <c r="S80" s="164"/>
      <c r="T80" s="164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</row>
    <row r="81" spans="2:54" ht="15.75"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4"/>
      <c r="O81" s="164"/>
      <c r="P81" s="164"/>
      <c r="Q81" s="164"/>
      <c r="R81" s="164"/>
      <c r="S81" s="164"/>
      <c r="T81" s="164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</row>
    <row r="82" spans="2:54" ht="15.75"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4"/>
      <c r="O82" s="164"/>
      <c r="P82" s="164"/>
      <c r="Q82" s="164"/>
      <c r="R82" s="164"/>
      <c r="S82" s="164"/>
      <c r="T82" s="164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</row>
    <row r="83" spans="2:54" ht="15.75"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4"/>
      <c r="O83" s="164"/>
      <c r="P83" s="164"/>
      <c r="Q83" s="164"/>
      <c r="R83" s="164"/>
      <c r="S83" s="164"/>
      <c r="T83" s="164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</row>
    <row r="84" spans="2:54" ht="15.75"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4"/>
      <c r="O84" s="164"/>
      <c r="P84" s="164"/>
      <c r="Q84" s="164"/>
      <c r="R84" s="164"/>
      <c r="S84" s="164"/>
      <c r="T84" s="164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</row>
    <row r="85" spans="2:54" ht="15.75"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4"/>
      <c r="O85" s="164"/>
      <c r="P85" s="164"/>
      <c r="Q85" s="164"/>
      <c r="R85" s="164"/>
      <c r="S85" s="164"/>
      <c r="T85" s="164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</row>
    <row r="86" spans="2:54" ht="15.75">
      <c r="B86" s="201"/>
      <c r="C86" s="202"/>
      <c r="D86" s="202"/>
      <c r="E86" s="202"/>
      <c r="F86" s="202"/>
      <c r="G86" s="202"/>
      <c r="H86" s="202"/>
      <c r="I86" s="202"/>
      <c r="J86" s="202"/>
      <c r="K86" s="163"/>
      <c r="L86" s="163"/>
      <c r="M86" s="163"/>
      <c r="N86" s="164"/>
      <c r="O86" s="164"/>
      <c r="P86" s="164"/>
      <c r="Q86" s="164"/>
      <c r="R86" s="164"/>
      <c r="S86" s="164"/>
      <c r="T86" s="164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</row>
    <row r="87" spans="2:54" ht="15.75">
      <c r="B87" s="201"/>
      <c r="C87" s="201"/>
      <c r="D87" s="201"/>
      <c r="E87" s="201"/>
      <c r="F87" s="201"/>
      <c r="G87" s="201"/>
      <c r="H87" s="201"/>
      <c r="I87" s="201"/>
      <c r="J87" s="202"/>
      <c r="K87" s="163"/>
      <c r="L87" s="163"/>
      <c r="M87" s="163"/>
      <c r="N87" s="164"/>
      <c r="O87" s="164"/>
      <c r="P87" s="164"/>
      <c r="Q87" s="164"/>
      <c r="R87" s="164"/>
      <c r="S87" s="164"/>
      <c r="T87" s="164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</row>
    <row r="88" spans="2:54" ht="15.75">
      <c r="B88" s="166"/>
      <c r="C88" s="166"/>
      <c r="D88" s="166"/>
      <c r="E88" s="166"/>
      <c r="F88" s="166"/>
      <c r="G88" s="166"/>
      <c r="H88" s="166"/>
      <c r="I88" s="203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</row>
    <row r="89" spans="2:54" ht="15.75">
      <c r="B89" s="166"/>
      <c r="C89" s="166"/>
      <c r="D89" s="166"/>
      <c r="E89" s="166"/>
      <c r="F89" s="166"/>
      <c r="G89" s="166"/>
      <c r="H89" s="166"/>
      <c r="I89" s="203"/>
      <c r="J89" s="20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</row>
    <row r="90" spans="2:54" ht="15.75">
      <c r="B90" s="166"/>
      <c r="C90" s="166"/>
      <c r="D90" s="166"/>
      <c r="E90" s="166"/>
      <c r="F90" s="166"/>
      <c r="G90" s="166"/>
      <c r="H90" s="166"/>
      <c r="I90" s="203"/>
      <c r="J90" s="20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</row>
    <row r="91" spans="2:54" ht="15.75"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</row>
    <row r="92" spans="2:54" ht="15.75"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</row>
    <row r="93" spans="2:54" ht="15.75"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</row>
    <row r="94" spans="2:54" ht="15.75"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</row>
    <row r="95" spans="2:54" ht="15.75"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</row>
    <row r="96" spans="2:54" ht="15.75"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</row>
    <row r="97" spans="2:54" ht="15.75"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</row>
    <row r="98" spans="2:54" ht="15.75"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</row>
    <row r="99" spans="2:54" ht="15.75"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</row>
    <row r="100" spans="2:54" ht="15.75"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</row>
    <row r="101" spans="2:54" ht="15.75"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</row>
    <row r="102" spans="2:54" ht="15.75"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</row>
    <row r="103" spans="2:54" ht="15.75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</row>
    <row r="104" spans="2:54" ht="15.75"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</row>
    <row r="105" spans="2:54" ht="15.75"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</row>
    <row r="106" spans="2:54" ht="15.75"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</row>
    <row r="107" spans="2:54" ht="15.75"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</row>
    <row r="108" spans="2:54" ht="15.75"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</row>
    <row r="109" spans="2:54" ht="15.75"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</row>
    <row r="110" spans="2:54" ht="15.75"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</row>
    <row r="111" spans="2:54" ht="15.75"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</row>
    <row r="112" spans="2:54" ht="15.75"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</row>
    <row r="113" spans="2:54" ht="15.75"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</row>
    <row r="114" spans="2:54" ht="15.75"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</row>
    <row r="115" spans="2:54" ht="15.75"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</row>
    <row r="116" spans="2:54" ht="15.75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</row>
    <row r="117" spans="2:54" ht="15.75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</row>
    <row r="118" spans="2:54" ht="15.75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</row>
    <row r="119" spans="2:54" ht="15.75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</row>
    <row r="120" spans="2:54" ht="15.75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</row>
    <row r="121" spans="2:54" ht="15.75"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</row>
    <row r="122" spans="2:54" ht="15.75"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</row>
    <row r="123" spans="2:54" ht="15.75"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</row>
    <row r="124" spans="2:54" ht="15.75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</row>
    <row r="125" spans="2:54" ht="15.75"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</row>
    <row r="126" spans="2:54" ht="15.75"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</row>
    <row r="127" spans="2:54" ht="15.75"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</row>
  </sheetData>
  <sheetProtection password="C6EF" sheet="1" objects="1" scenarios="1" selectLockedCells="1"/>
  <mergeCells count="22">
    <mergeCell ref="O22:O23"/>
    <mergeCell ref="G7:G9"/>
    <mergeCell ref="L7:L9"/>
    <mergeCell ref="I8:J8"/>
    <mergeCell ref="I9:J9"/>
    <mergeCell ref="H10:K10"/>
    <mergeCell ref="L14:L15"/>
    <mergeCell ref="H8:H9"/>
    <mergeCell ref="I13:J13"/>
    <mergeCell ref="K8:K9"/>
    <mergeCell ref="K14:K15"/>
    <mergeCell ref="H14:H15"/>
    <mergeCell ref="I7:J7"/>
    <mergeCell ref="G14:G15"/>
    <mergeCell ref="I14:J15"/>
    <mergeCell ref="L21:L22"/>
    <mergeCell ref="B21:B22"/>
    <mergeCell ref="G21:G22"/>
    <mergeCell ref="I20:J20"/>
    <mergeCell ref="H21:H22"/>
    <mergeCell ref="I21:J22"/>
    <mergeCell ref="K21:K22"/>
  </mergeCells>
  <printOptions/>
  <pageMargins left="0.75" right="0.75" top="1" bottom="1" header="0.5" footer="0.5"/>
  <pageSetup horizontalDpi="1200" verticalDpi="1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2"/>
  <sheetViews>
    <sheetView showGridLines="0" zoomScaleSheetLayoutView="100" workbookViewId="0" topLeftCell="R7">
      <selection activeCell="Q7" sqref="A1:Q16384"/>
    </sheetView>
  </sheetViews>
  <sheetFormatPr defaultColWidth="9.140625" defaultRowHeight="12.75"/>
  <cols>
    <col min="1" max="7" width="0.13671875" style="4" hidden="1" customWidth="1"/>
    <col min="8" max="8" width="9.8515625" style="4" hidden="1" customWidth="1"/>
    <col min="9" max="9" width="8.140625" style="4" hidden="1" customWidth="1"/>
    <col min="10" max="10" width="13.421875" style="4" hidden="1" customWidth="1"/>
    <col min="11" max="16" width="0.13671875" style="4" hidden="1" customWidth="1"/>
    <col min="17" max="17" width="45.140625" style="4" hidden="1" customWidth="1"/>
    <col min="18" max="16384" width="11.57421875" style="4" customWidth="1"/>
  </cols>
  <sheetData>
    <row r="1" spans="1:17" ht="0" customHeight="1" hidden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75"/>
      <c r="M1" s="75"/>
      <c r="N1" s="75"/>
      <c r="O1" s="75"/>
      <c r="P1" s="75"/>
      <c r="Q1" s="75"/>
    </row>
    <row r="2" spans="1:17" ht="0" customHeight="1" hidden="1">
      <c r="A2" s="76"/>
      <c r="B2" s="68"/>
      <c r="C2" s="68"/>
      <c r="D2" s="68"/>
      <c r="E2" s="68"/>
      <c r="F2" s="68"/>
      <c r="G2" s="68"/>
      <c r="H2" s="68"/>
      <c r="I2" s="68"/>
      <c r="J2" s="68"/>
      <c r="K2" s="68"/>
      <c r="L2" s="75"/>
      <c r="M2" s="75"/>
      <c r="N2" s="75"/>
      <c r="O2" s="75"/>
      <c r="P2" s="75"/>
      <c r="Q2" s="75"/>
    </row>
    <row r="3" spans="1:17" ht="0" customHeight="1" hidden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75"/>
      <c r="M3" s="75"/>
      <c r="N3" s="75"/>
      <c r="O3" s="75"/>
      <c r="P3" s="75"/>
      <c r="Q3" s="75"/>
    </row>
    <row r="4" spans="1:17" ht="0" customHeight="1" hidden="1">
      <c r="A4" s="77"/>
      <c r="B4" s="78"/>
      <c r="C4" s="68"/>
      <c r="D4" s="68"/>
      <c r="E4" s="79"/>
      <c r="F4" s="78"/>
      <c r="G4" s="68"/>
      <c r="H4" s="68"/>
      <c r="I4" s="68"/>
      <c r="J4" s="68"/>
      <c r="K4" s="68"/>
      <c r="L4" s="75"/>
      <c r="M4" s="75"/>
      <c r="N4" s="75"/>
      <c r="O4" s="75"/>
      <c r="P4" s="75"/>
      <c r="Q4" s="75"/>
    </row>
    <row r="5" spans="1:17" ht="0" customHeight="1" hidden="1">
      <c r="A5" s="77"/>
      <c r="B5" s="78"/>
      <c r="C5" s="68"/>
      <c r="D5" s="68"/>
      <c r="E5" s="79"/>
      <c r="F5" s="73"/>
      <c r="G5" s="68"/>
      <c r="H5" s="68"/>
      <c r="I5" s="68"/>
      <c r="J5" s="68"/>
      <c r="K5" s="80" t="s">
        <v>52</v>
      </c>
      <c r="L5" s="75"/>
      <c r="M5" s="75"/>
      <c r="N5" s="75"/>
      <c r="O5" s="75"/>
      <c r="P5" s="75"/>
      <c r="Q5" s="75"/>
    </row>
    <row r="6" spans="1:17" ht="0" customHeight="1" hidden="1">
      <c r="A6" s="77"/>
      <c r="B6" s="68"/>
      <c r="C6" s="77"/>
      <c r="D6" s="78"/>
      <c r="E6" s="68"/>
      <c r="F6" s="77"/>
      <c r="G6" s="78"/>
      <c r="H6" s="77"/>
      <c r="I6" s="78"/>
      <c r="J6" s="68"/>
      <c r="K6" s="68"/>
      <c r="L6" s="75"/>
      <c r="M6" s="75"/>
      <c r="N6" s="75"/>
      <c r="O6" s="75"/>
      <c r="P6" s="75"/>
      <c r="Q6" s="75"/>
    </row>
    <row r="7" spans="1:17" ht="14.25" customHeight="1">
      <c r="A7" s="67" t="s">
        <v>12</v>
      </c>
      <c r="B7" s="67" t="s">
        <v>54</v>
      </c>
      <c r="C7" s="67" t="s">
        <v>13</v>
      </c>
      <c r="D7" s="67" t="s">
        <v>14</v>
      </c>
      <c r="E7" s="81" t="s">
        <v>15</v>
      </c>
      <c r="F7" s="67" t="s">
        <v>16</v>
      </c>
      <c r="G7" s="67" t="s">
        <v>17</v>
      </c>
      <c r="H7" s="82" t="s">
        <v>18</v>
      </c>
      <c r="I7" s="67" t="s">
        <v>19</v>
      </c>
      <c r="J7" s="67" t="s">
        <v>20</v>
      </c>
      <c r="K7" s="67" t="s">
        <v>21</v>
      </c>
      <c r="L7" s="75"/>
      <c r="M7" s="83">
        <f>ROUND(H10*500,0)*2</f>
        <v>1122</v>
      </c>
      <c r="N7" s="75"/>
      <c r="O7" s="75"/>
      <c r="P7" s="75"/>
      <c r="Q7" s="75"/>
    </row>
    <row r="8" spans="1:17" ht="14.25" customHeight="1">
      <c r="A8" s="67" t="s">
        <v>22</v>
      </c>
      <c r="B8" s="67" t="s">
        <v>23</v>
      </c>
      <c r="C8" s="67" t="s">
        <v>23</v>
      </c>
      <c r="D8" s="67"/>
      <c r="E8" s="81" t="s">
        <v>24</v>
      </c>
      <c r="F8" s="67" t="s">
        <v>25</v>
      </c>
      <c r="G8" s="84"/>
      <c r="H8" s="67" t="s">
        <v>55</v>
      </c>
      <c r="I8" s="67" t="s">
        <v>26</v>
      </c>
      <c r="J8" s="67" t="s">
        <v>27</v>
      </c>
      <c r="K8" s="84"/>
      <c r="L8" s="75"/>
      <c r="M8" s="83">
        <f>IF(H10&lt;0.7704,346.4228,IF(H10&lt;=0.7875,-0.0033631,IF(H10&lt;0.839,594.5418,186.9696)))</f>
        <v>186.9696</v>
      </c>
      <c r="N8" s="75"/>
      <c r="O8" s="75"/>
      <c r="P8" s="75"/>
      <c r="Q8" s="75"/>
    </row>
    <row r="9" spans="1:17" ht="14.25" customHeight="1">
      <c r="A9" s="84"/>
      <c r="B9" s="67" t="s">
        <v>56</v>
      </c>
      <c r="C9" s="67" t="s">
        <v>56</v>
      </c>
      <c r="D9" s="85" t="s">
        <v>78</v>
      </c>
      <c r="E9" s="81" t="s">
        <v>56</v>
      </c>
      <c r="F9" s="82" t="s">
        <v>79</v>
      </c>
      <c r="G9" s="82" t="s">
        <v>78</v>
      </c>
      <c r="H9" s="81" t="s">
        <v>57</v>
      </c>
      <c r="I9" s="67" t="s">
        <v>58</v>
      </c>
      <c r="J9" s="67" t="s">
        <v>59</v>
      </c>
      <c r="K9" s="82" t="s">
        <v>78</v>
      </c>
      <c r="L9" s="75"/>
      <c r="M9" s="83">
        <f>IF(H10&lt;0.7704,0.4388,IF(H10&lt;=0.7875,2680.3206,IF(H10&lt;0.839,0,0.4862)))</f>
        <v>0.4862</v>
      </c>
      <c r="N9" s="75"/>
      <c r="O9" s="75"/>
      <c r="P9" s="75"/>
      <c r="Q9" s="75"/>
    </row>
    <row r="10" spans="1:17" ht="21" customHeight="1">
      <c r="A10" s="86"/>
      <c r="B10" s="87"/>
      <c r="C10" s="87"/>
      <c r="D10" s="88"/>
      <c r="E10" s="89"/>
      <c r="F10" s="90"/>
      <c r="G10" s="91"/>
      <c r="H10" s="92">
        <f>'ASTM SOFTWARE'!G21</f>
        <v>1.1214252973830294</v>
      </c>
      <c r="I10" s="93">
        <f>'ASTM SOFTWARE'!H21</f>
        <v>85</v>
      </c>
      <c r="J10" s="94">
        <f>Q10</f>
        <v>0.9588</v>
      </c>
      <c r="K10" s="87">
        <f aca="true" t="shared" si="0" ref="K10:K24">ROUND(G10*J10,3)</f>
        <v>0</v>
      </c>
      <c r="L10" s="83">
        <f aca="true" t="shared" si="1" ref="L10:L27">ROUND(K10*($H$10-0.0011),3)</f>
        <v>0</v>
      </c>
      <c r="M10" s="83">
        <f aca="true" t="shared" si="2" ref="M10:M27">ROUND(I10/0.25,0)*0.25-15</f>
        <v>70</v>
      </c>
      <c r="N10" s="83">
        <f aca="true" t="shared" si="3" ref="N10:N27">ROUND($M$8/($M$7)^2+$M$9/$M$7,7)</f>
        <v>0.0005819</v>
      </c>
      <c r="O10" s="83">
        <f aca="true" t="shared" si="4" ref="O10:O27">ROUND($M$8+($M$9/$M$7^2),7)</f>
        <v>186.9696004</v>
      </c>
      <c r="P10" s="83">
        <f aca="true" t="shared" si="5" ref="P10:P27">IF($H$10&lt;0.7705,N10,IF($H$10&lt;=0.7875,O10,N10))</f>
        <v>0.0005819</v>
      </c>
      <c r="Q10" s="83">
        <f aca="true" t="shared" si="6" ref="Q10:Q27">ROUND(EXP(-P10*M10-0.8*P10^2*M10^2),4)</f>
        <v>0.9588</v>
      </c>
    </row>
    <row r="11" spans="1:17" ht="0" customHeight="1" hidden="1">
      <c r="A11" s="86" t="s">
        <v>60</v>
      </c>
      <c r="B11" s="87">
        <v>5.36</v>
      </c>
      <c r="C11" s="87">
        <v>5.06</v>
      </c>
      <c r="D11" s="88">
        <v>2587.2</v>
      </c>
      <c r="E11" s="89" t="s">
        <v>53</v>
      </c>
      <c r="F11" s="90">
        <v>0</v>
      </c>
      <c r="G11" s="91">
        <f aca="true" t="shared" si="7" ref="G11:G24">D11-F11</f>
        <v>2587.2</v>
      </c>
      <c r="H11" s="92"/>
      <c r="I11" s="93"/>
      <c r="J11" s="94"/>
      <c r="K11" s="87">
        <f t="shared" si="0"/>
        <v>0</v>
      </c>
      <c r="L11" s="83">
        <f t="shared" si="1"/>
        <v>0</v>
      </c>
      <c r="M11" s="83">
        <f t="shared" si="2"/>
        <v>-15</v>
      </c>
      <c r="N11" s="83">
        <f t="shared" si="3"/>
        <v>0.0005819</v>
      </c>
      <c r="O11" s="83">
        <f t="shared" si="4"/>
        <v>186.9696004</v>
      </c>
      <c r="P11" s="83">
        <f t="shared" si="5"/>
        <v>0.0005819</v>
      </c>
      <c r="Q11" s="83">
        <f t="shared" si="6"/>
        <v>1.0087</v>
      </c>
    </row>
    <row r="12" spans="1:17" ht="0" customHeight="1" hidden="1">
      <c r="A12" s="86" t="s">
        <v>61</v>
      </c>
      <c r="B12" s="87">
        <v>5.37</v>
      </c>
      <c r="C12" s="87">
        <v>5.09</v>
      </c>
      <c r="D12" s="88">
        <v>2581.6</v>
      </c>
      <c r="E12" s="89" t="s">
        <v>53</v>
      </c>
      <c r="F12" s="90">
        <v>0</v>
      </c>
      <c r="G12" s="91">
        <f t="shared" si="7"/>
        <v>2581.6</v>
      </c>
      <c r="H12" s="92"/>
      <c r="I12" s="93"/>
      <c r="J12" s="94"/>
      <c r="K12" s="87">
        <f t="shared" si="0"/>
        <v>0</v>
      </c>
      <c r="L12" s="83">
        <f t="shared" si="1"/>
        <v>0</v>
      </c>
      <c r="M12" s="83">
        <f t="shared" si="2"/>
        <v>-15</v>
      </c>
      <c r="N12" s="83">
        <f t="shared" si="3"/>
        <v>0.0005819</v>
      </c>
      <c r="O12" s="83">
        <f t="shared" si="4"/>
        <v>186.9696004</v>
      </c>
      <c r="P12" s="83">
        <f t="shared" si="5"/>
        <v>0.0005819</v>
      </c>
      <c r="Q12" s="83">
        <f t="shared" si="6"/>
        <v>1.0087</v>
      </c>
    </row>
    <row r="13" spans="1:17" ht="0" customHeight="1" hidden="1">
      <c r="A13" s="86" t="s">
        <v>62</v>
      </c>
      <c r="B13" s="87">
        <v>5.24</v>
      </c>
      <c r="C13" s="87">
        <v>4.95</v>
      </c>
      <c r="D13" s="88">
        <v>2693.9</v>
      </c>
      <c r="E13" s="89" t="s">
        <v>53</v>
      </c>
      <c r="F13" s="90">
        <v>0</v>
      </c>
      <c r="G13" s="91">
        <f t="shared" si="7"/>
        <v>2693.9</v>
      </c>
      <c r="H13" s="92"/>
      <c r="I13" s="93"/>
      <c r="J13" s="94"/>
      <c r="K13" s="87">
        <f t="shared" si="0"/>
        <v>0</v>
      </c>
      <c r="L13" s="83">
        <f t="shared" si="1"/>
        <v>0</v>
      </c>
      <c r="M13" s="83">
        <f t="shared" si="2"/>
        <v>-15</v>
      </c>
      <c r="N13" s="83">
        <f t="shared" si="3"/>
        <v>0.0005819</v>
      </c>
      <c r="O13" s="83">
        <f t="shared" si="4"/>
        <v>186.9696004</v>
      </c>
      <c r="P13" s="83">
        <f t="shared" si="5"/>
        <v>0.0005819</v>
      </c>
      <c r="Q13" s="83">
        <f t="shared" si="6"/>
        <v>1.0087</v>
      </c>
    </row>
    <row r="14" spans="1:17" ht="0" customHeight="1" hidden="1">
      <c r="A14" s="86" t="s">
        <v>63</v>
      </c>
      <c r="B14" s="87">
        <v>5.62</v>
      </c>
      <c r="C14" s="87">
        <v>5.36</v>
      </c>
      <c r="D14" s="88">
        <v>2615</v>
      </c>
      <c r="E14" s="89" t="s">
        <v>53</v>
      </c>
      <c r="F14" s="90">
        <v>0</v>
      </c>
      <c r="G14" s="91">
        <f t="shared" si="7"/>
        <v>2615</v>
      </c>
      <c r="H14" s="92"/>
      <c r="I14" s="93"/>
      <c r="J14" s="94"/>
      <c r="K14" s="87">
        <f t="shared" si="0"/>
        <v>0</v>
      </c>
      <c r="L14" s="83">
        <f t="shared" si="1"/>
        <v>0</v>
      </c>
      <c r="M14" s="83">
        <f t="shared" si="2"/>
        <v>-15</v>
      </c>
      <c r="N14" s="83">
        <f t="shared" si="3"/>
        <v>0.0005819</v>
      </c>
      <c r="O14" s="83">
        <f t="shared" si="4"/>
        <v>186.9696004</v>
      </c>
      <c r="P14" s="83">
        <f t="shared" si="5"/>
        <v>0.0005819</v>
      </c>
      <c r="Q14" s="83">
        <f t="shared" si="6"/>
        <v>1.0087</v>
      </c>
    </row>
    <row r="15" spans="1:17" ht="0" customHeight="1" hidden="1">
      <c r="A15" s="86" t="s">
        <v>64</v>
      </c>
      <c r="B15" s="87">
        <v>4.55</v>
      </c>
      <c r="C15" s="87">
        <v>4.23</v>
      </c>
      <c r="D15" s="88">
        <v>2829.8</v>
      </c>
      <c r="E15" s="89" t="s">
        <v>53</v>
      </c>
      <c r="F15" s="90">
        <v>0</v>
      </c>
      <c r="G15" s="91">
        <f t="shared" si="7"/>
        <v>2829.8</v>
      </c>
      <c r="H15" s="92"/>
      <c r="I15" s="93"/>
      <c r="J15" s="94"/>
      <c r="K15" s="87">
        <f t="shared" si="0"/>
        <v>0</v>
      </c>
      <c r="L15" s="83">
        <f t="shared" si="1"/>
        <v>0</v>
      </c>
      <c r="M15" s="83">
        <f t="shared" si="2"/>
        <v>-15</v>
      </c>
      <c r="N15" s="83">
        <f t="shared" si="3"/>
        <v>0.0005819</v>
      </c>
      <c r="O15" s="83">
        <f t="shared" si="4"/>
        <v>186.9696004</v>
      </c>
      <c r="P15" s="83">
        <f t="shared" si="5"/>
        <v>0.0005819</v>
      </c>
      <c r="Q15" s="83">
        <f t="shared" si="6"/>
        <v>1.0087</v>
      </c>
    </row>
    <row r="16" spans="1:17" ht="0" customHeight="1" hidden="1">
      <c r="A16" s="86" t="s">
        <v>65</v>
      </c>
      <c r="B16" s="87">
        <v>4.59</v>
      </c>
      <c r="C16" s="87">
        <v>4.31</v>
      </c>
      <c r="D16" s="88">
        <v>2814.6</v>
      </c>
      <c r="E16" s="89" t="s">
        <v>53</v>
      </c>
      <c r="F16" s="90">
        <v>0</v>
      </c>
      <c r="G16" s="91">
        <f t="shared" si="7"/>
        <v>2814.6</v>
      </c>
      <c r="H16" s="92"/>
      <c r="I16" s="93"/>
      <c r="J16" s="94"/>
      <c r="K16" s="87">
        <f t="shared" si="0"/>
        <v>0</v>
      </c>
      <c r="L16" s="83">
        <f t="shared" si="1"/>
        <v>0</v>
      </c>
      <c r="M16" s="83">
        <f t="shared" si="2"/>
        <v>-15</v>
      </c>
      <c r="N16" s="83">
        <f t="shared" si="3"/>
        <v>0.0005819</v>
      </c>
      <c r="O16" s="83">
        <f t="shared" si="4"/>
        <v>186.9696004</v>
      </c>
      <c r="P16" s="83">
        <f t="shared" si="5"/>
        <v>0.0005819</v>
      </c>
      <c r="Q16" s="83">
        <f t="shared" si="6"/>
        <v>1.0087</v>
      </c>
    </row>
    <row r="17" spans="1:17" ht="0" customHeight="1" hidden="1">
      <c r="A17" s="86" t="s">
        <v>66</v>
      </c>
      <c r="B17" s="87">
        <v>3.98</v>
      </c>
      <c r="C17" s="87">
        <v>3.67</v>
      </c>
      <c r="D17" s="88">
        <v>2935.7</v>
      </c>
      <c r="E17" s="89" t="s">
        <v>53</v>
      </c>
      <c r="F17" s="90">
        <v>0</v>
      </c>
      <c r="G17" s="91">
        <f t="shared" si="7"/>
        <v>2935.7</v>
      </c>
      <c r="H17" s="92"/>
      <c r="I17" s="93"/>
      <c r="J17" s="94"/>
      <c r="K17" s="87">
        <f t="shared" si="0"/>
        <v>0</v>
      </c>
      <c r="L17" s="83">
        <f t="shared" si="1"/>
        <v>0</v>
      </c>
      <c r="M17" s="83">
        <f t="shared" si="2"/>
        <v>-15</v>
      </c>
      <c r="N17" s="83">
        <f t="shared" si="3"/>
        <v>0.0005819</v>
      </c>
      <c r="O17" s="83">
        <f t="shared" si="4"/>
        <v>186.9696004</v>
      </c>
      <c r="P17" s="83">
        <f t="shared" si="5"/>
        <v>0.0005819</v>
      </c>
      <c r="Q17" s="83">
        <f t="shared" si="6"/>
        <v>1.0087</v>
      </c>
    </row>
    <row r="18" spans="1:17" ht="0" customHeight="1" hidden="1">
      <c r="A18" s="86" t="s">
        <v>67</v>
      </c>
      <c r="B18" s="87">
        <v>4.07</v>
      </c>
      <c r="C18" s="87">
        <v>3.81</v>
      </c>
      <c r="D18" s="88">
        <v>2909</v>
      </c>
      <c r="E18" s="89" t="s">
        <v>53</v>
      </c>
      <c r="F18" s="90">
        <v>0</v>
      </c>
      <c r="G18" s="91">
        <f t="shared" si="7"/>
        <v>2909</v>
      </c>
      <c r="H18" s="92"/>
      <c r="I18" s="93"/>
      <c r="J18" s="94"/>
      <c r="K18" s="87">
        <f t="shared" si="0"/>
        <v>0</v>
      </c>
      <c r="L18" s="83">
        <f t="shared" si="1"/>
        <v>0</v>
      </c>
      <c r="M18" s="83">
        <f t="shared" si="2"/>
        <v>-15</v>
      </c>
      <c r="N18" s="83">
        <f t="shared" si="3"/>
        <v>0.0005819</v>
      </c>
      <c r="O18" s="83">
        <f t="shared" si="4"/>
        <v>186.9696004</v>
      </c>
      <c r="P18" s="83">
        <f t="shared" si="5"/>
        <v>0.0005819</v>
      </c>
      <c r="Q18" s="83">
        <f t="shared" si="6"/>
        <v>1.0087</v>
      </c>
    </row>
    <row r="19" spans="1:17" ht="0" customHeight="1" hidden="1">
      <c r="A19" s="86" t="s">
        <v>68</v>
      </c>
      <c r="B19" s="87">
        <v>5.99</v>
      </c>
      <c r="C19" s="87">
        <v>5.68</v>
      </c>
      <c r="D19" s="88">
        <v>2552.8</v>
      </c>
      <c r="E19" s="89" t="s">
        <v>53</v>
      </c>
      <c r="F19" s="90">
        <v>0</v>
      </c>
      <c r="G19" s="91">
        <f t="shared" si="7"/>
        <v>2552.8</v>
      </c>
      <c r="H19" s="92"/>
      <c r="I19" s="93"/>
      <c r="J19" s="94"/>
      <c r="K19" s="87">
        <f t="shared" si="0"/>
        <v>0</v>
      </c>
      <c r="L19" s="83">
        <f t="shared" si="1"/>
        <v>0</v>
      </c>
      <c r="M19" s="83">
        <f t="shared" si="2"/>
        <v>-15</v>
      </c>
      <c r="N19" s="83">
        <f t="shared" si="3"/>
        <v>0.0005819</v>
      </c>
      <c r="O19" s="83">
        <f t="shared" si="4"/>
        <v>186.9696004</v>
      </c>
      <c r="P19" s="83">
        <f t="shared" si="5"/>
        <v>0.0005819</v>
      </c>
      <c r="Q19" s="83">
        <f t="shared" si="6"/>
        <v>1.0087</v>
      </c>
    </row>
    <row r="20" spans="1:17" ht="0" customHeight="1" hidden="1">
      <c r="A20" s="86" t="s">
        <v>69</v>
      </c>
      <c r="B20" s="87">
        <v>5.91</v>
      </c>
      <c r="C20" s="87">
        <v>5.69</v>
      </c>
      <c r="D20" s="88">
        <v>2550.9</v>
      </c>
      <c r="E20" s="89" t="s">
        <v>53</v>
      </c>
      <c r="F20" s="90">
        <v>0</v>
      </c>
      <c r="G20" s="91">
        <f t="shared" si="7"/>
        <v>2550.9</v>
      </c>
      <c r="H20" s="92"/>
      <c r="I20" s="93"/>
      <c r="J20" s="94"/>
      <c r="K20" s="87">
        <f t="shared" si="0"/>
        <v>0</v>
      </c>
      <c r="L20" s="83">
        <f t="shared" si="1"/>
        <v>0</v>
      </c>
      <c r="M20" s="83">
        <f t="shared" si="2"/>
        <v>-15</v>
      </c>
      <c r="N20" s="83">
        <f t="shared" si="3"/>
        <v>0.0005819</v>
      </c>
      <c r="O20" s="83">
        <f t="shared" si="4"/>
        <v>186.9696004</v>
      </c>
      <c r="P20" s="83">
        <f t="shared" si="5"/>
        <v>0.0005819</v>
      </c>
      <c r="Q20" s="83">
        <f t="shared" si="6"/>
        <v>1.0087</v>
      </c>
    </row>
    <row r="21" spans="1:17" ht="0" customHeight="1" hidden="1">
      <c r="A21" s="86" t="s">
        <v>70</v>
      </c>
      <c r="B21" s="87">
        <v>7.87</v>
      </c>
      <c r="C21" s="87">
        <v>7.57</v>
      </c>
      <c r="D21" s="88">
        <v>2195.2</v>
      </c>
      <c r="E21" s="89" t="s">
        <v>53</v>
      </c>
      <c r="F21" s="90">
        <v>0</v>
      </c>
      <c r="G21" s="91">
        <f t="shared" si="7"/>
        <v>2195.2</v>
      </c>
      <c r="H21" s="92"/>
      <c r="I21" s="93"/>
      <c r="J21" s="94"/>
      <c r="K21" s="87">
        <f t="shared" si="0"/>
        <v>0</v>
      </c>
      <c r="L21" s="83">
        <f t="shared" si="1"/>
        <v>0</v>
      </c>
      <c r="M21" s="83">
        <f t="shared" si="2"/>
        <v>-15</v>
      </c>
      <c r="N21" s="83">
        <f t="shared" si="3"/>
        <v>0.0005819</v>
      </c>
      <c r="O21" s="83">
        <f t="shared" si="4"/>
        <v>186.9696004</v>
      </c>
      <c r="P21" s="83">
        <f t="shared" si="5"/>
        <v>0.0005819</v>
      </c>
      <c r="Q21" s="83">
        <f t="shared" si="6"/>
        <v>1.0087</v>
      </c>
    </row>
    <row r="22" spans="1:17" ht="0" customHeight="1" hidden="1">
      <c r="A22" s="86" t="s">
        <v>71</v>
      </c>
      <c r="B22" s="87">
        <v>7.88</v>
      </c>
      <c r="C22" s="87">
        <v>7.6</v>
      </c>
      <c r="D22" s="88">
        <v>2189.4</v>
      </c>
      <c r="E22" s="89" t="s">
        <v>53</v>
      </c>
      <c r="F22" s="90">
        <v>0</v>
      </c>
      <c r="G22" s="91">
        <f t="shared" si="7"/>
        <v>2189.4</v>
      </c>
      <c r="H22" s="92"/>
      <c r="I22" s="93"/>
      <c r="J22" s="94"/>
      <c r="K22" s="87">
        <f t="shared" si="0"/>
        <v>0</v>
      </c>
      <c r="L22" s="83">
        <f t="shared" si="1"/>
        <v>0</v>
      </c>
      <c r="M22" s="83">
        <f t="shared" si="2"/>
        <v>-15</v>
      </c>
      <c r="N22" s="83">
        <f t="shared" si="3"/>
        <v>0.0005819</v>
      </c>
      <c r="O22" s="83">
        <f t="shared" si="4"/>
        <v>186.9696004</v>
      </c>
      <c r="P22" s="83">
        <f t="shared" si="5"/>
        <v>0.0005819</v>
      </c>
      <c r="Q22" s="83">
        <f t="shared" si="6"/>
        <v>1.0087</v>
      </c>
    </row>
    <row r="23" spans="1:17" ht="0" customHeight="1" hidden="1">
      <c r="A23" s="86" t="s">
        <v>72</v>
      </c>
      <c r="B23" s="87">
        <v>7.37</v>
      </c>
      <c r="C23" s="87">
        <v>6.96</v>
      </c>
      <c r="D23" s="88">
        <v>1347.5</v>
      </c>
      <c r="E23" s="89" t="s">
        <v>53</v>
      </c>
      <c r="F23" s="90">
        <v>0</v>
      </c>
      <c r="G23" s="91">
        <f t="shared" si="7"/>
        <v>1347.5</v>
      </c>
      <c r="H23" s="92"/>
      <c r="I23" s="93"/>
      <c r="J23" s="94"/>
      <c r="K23" s="87">
        <f t="shared" si="0"/>
        <v>0</v>
      </c>
      <c r="L23" s="83">
        <f t="shared" si="1"/>
        <v>0</v>
      </c>
      <c r="M23" s="83">
        <f t="shared" si="2"/>
        <v>-15</v>
      </c>
      <c r="N23" s="83">
        <f t="shared" si="3"/>
        <v>0.0005819</v>
      </c>
      <c r="O23" s="83">
        <f t="shared" si="4"/>
        <v>186.9696004</v>
      </c>
      <c r="P23" s="83">
        <f t="shared" si="5"/>
        <v>0.0005819</v>
      </c>
      <c r="Q23" s="83">
        <f t="shared" si="6"/>
        <v>1.0087</v>
      </c>
    </row>
    <row r="24" spans="1:17" ht="0" customHeight="1" hidden="1">
      <c r="A24" s="86" t="s">
        <v>73</v>
      </c>
      <c r="B24" s="87">
        <v>7.67</v>
      </c>
      <c r="C24" s="87">
        <v>7.36</v>
      </c>
      <c r="D24" s="88">
        <v>1302.7</v>
      </c>
      <c r="E24" s="89" t="s">
        <v>53</v>
      </c>
      <c r="F24" s="90">
        <v>0</v>
      </c>
      <c r="G24" s="91">
        <f t="shared" si="7"/>
        <v>1302.7</v>
      </c>
      <c r="H24" s="92"/>
      <c r="I24" s="93"/>
      <c r="J24" s="94"/>
      <c r="K24" s="87">
        <f t="shared" si="0"/>
        <v>0</v>
      </c>
      <c r="L24" s="83">
        <f t="shared" si="1"/>
        <v>0</v>
      </c>
      <c r="M24" s="83">
        <f t="shared" si="2"/>
        <v>-15</v>
      </c>
      <c r="N24" s="83">
        <f t="shared" si="3"/>
        <v>0.0005819</v>
      </c>
      <c r="O24" s="83">
        <f t="shared" si="4"/>
        <v>186.9696004</v>
      </c>
      <c r="P24" s="83">
        <f t="shared" si="5"/>
        <v>0.0005819</v>
      </c>
      <c r="Q24" s="83">
        <f t="shared" si="6"/>
        <v>1.0087</v>
      </c>
    </row>
    <row r="25" spans="1:17" ht="0" customHeight="1" hidden="1">
      <c r="A25" s="86"/>
      <c r="B25" s="87"/>
      <c r="C25" s="87"/>
      <c r="D25" s="95"/>
      <c r="E25" s="86"/>
      <c r="F25" s="90"/>
      <c r="G25" s="87"/>
      <c r="H25" s="92"/>
      <c r="I25" s="93"/>
      <c r="J25" s="94"/>
      <c r="K25" s="87"/>
      <c r="L25" s="83">
        <f t="shared" si="1"/>
        <v>0</v>
      </c>
      <c r="M25" s="83">
        <f t="shared" si="2"/>
        <v>-15</v>
      </c>
      <c r="N25" s="83">
        <f t="shared" si="3"/>
        <v>0.0005819</v>
      </c>
      <c r="O25" s="83">
        <f t="shared" si="4"/>
        <v>186.9696004</v>
      </c>
      <c r="P25" s="83">
        <f t="shared" si="5"/>
        <v>0.0005819</v>
      </c>
      <c r="Q25" s="83">
        <f t="shared" si="6"/>
        <v>1.0087</v>
      </c>
    </row>
    <row r="26" spans="1:17" ht="0" customHeight="1" hidden="1">
      <c r="A26" s="86"/>
      <c r="B26" s="87"/>
      <c r="C26" s="87"/>
      <c r="D26" s="95"/>
      <c r="E26" s="86"/>
      <c r="F26" s="90"/>
      <c r="G26" s="87"/>
      <c r="H26" s="92"/>
      <c r="I26" s="93"/>
      <c r="J26" s="94"/>
      <c r="K26" s="87"/>
      <c r="L26" s="83">
        <f t="shared" si="1"/>
        <v>0</v>
      </c>
      <c r="M26" s="83">
        <f t="shared" si="2"/>
        <v>-15</v>
      </c>
      <c r="N26" s="83">
        <f t="shared" si="3"/>
        <v>0.0005819</v>
      </c>
      <c r="O26" s="83">
        <f t="shared" si="4"/>
        <v>186.9696004</v>
      </c>
      <c r="P26" s="83">
        <f t="shared" si="5"/>
        <v>0.0005819</v>
      </c>
      <c r="Q26" s="83">
        <f t="shared" si="6"/>
        <v>1.0087</v>
      </c>
    </row>
    <row r="27" spans="1:17" ht="0" customHeight="1" hidden="1">
      <c r="A27" s="86"/>
      <c r="B27" s="87"/>
      <c r="C27" s="87"/>
      <c r="D27" s="95"/>
      <c r="E27" s="86"/>
      <c r="F27" s="90"/>
      <c r="G27" s="87"/>
      <c r="H27" s="92"/>
      <c r="I27" s="93"/>
      <c r="J27" s="94"/>
      <c r="K27" s="87"/>
      <c r="L27" s="83">
        <f t="shared" si="1"/>
        <v>0</v>
      </c>
      <c r="M27" s="83">
        <f t="shared" si="2"/>
        <v>-15</v>
      </c>
      <c r="N27" s="83">
        <f t="shared" si="3"/>
        <v>0.0005819</v>
      </c>
      <c r="O27" s="83">
        <f t="shared" si="4"/>
        <v>186.9696004</v>
      </c>
      <c r="P27" s="83">
        <f t="shared" si="5"/>
        <v>0.0005819</v>
      </c>
      <c r="Q27" s="83">
        <f t="shared" si="6"/>
        <v>1.0087</v>
      </c>
    </row>
    <row r="28" spans="1:17" ht="0" customHeight="1" hidden="1">
      <c r="A28" s="68"/>
      <c r="B28" s="68"/>
      <c r="C28" s="96" t="s">
        <v>28</v>
      </c>
      <c r="D28" s="97">
        <f>SUM(D10:D27)</f>
        <v>34105.3</v>
      </c>
      <c r="E28" s="68"/>
      <c r="F28" s="90">
        <f>SUM(F10:F27)</f>
        <v>0</v>
      </c>
      <c r="G28" s="97">
        <f>SUM(G10:G27)</f>
        <v>34105.3</v>
      </c>
      <c r="H28" s="68"/>
      <c r="I28" s="68"/>
      <c r="J28" s="68"/>
      <c r="K28" s="98">
        <f>SUM(K10:K27)</f>
        <v>0</v>
      </c>
      <c r="L28" s="75"/>
      <c r="M28" s="75"/>
      <c r="N28" s="75"/>
      <c r="O28" s="75"/>
      <c r="P28" s="75"/>
      <c r="Q28" s="75"/>
    </row>
    <row r="29" spans="1:17" ht="0" customHeight="1" hidden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75"/>
      <c r="M29" s="75"/>
      <c r="N29" s="75"/>
      <c r="O29" s="75"/>
      <c r="P29" s="75"/>
      <c r="Q29" s="75"/>
    </row>
    <row r="30" spans="1:17" ht="0" customHeight="1" hidden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75"/>
      <c r="M30" s="75"/>
      <c r="N30" s="75"/>
      <c r="O30" s="75"/>
      <c r="P30" s="75"/>
      <c r="Q30" s="75"/>
    </row>
    <row r="31" spans="1:17" ht="0" customHeight="1" hidden="1">
      <c r="A31" s="77" t="s">
        <v>74</v>
      </c>
      <c r="B31" s="68"/>
      <c r="C31" s="68"/>
      <c r="D31" s="69" t="s">
        <v>30</v>
      </c>
      <c r="E31" s="70">
        <f>ROUND(H10-0.0011,4)</f>
        <v>1.1203</v>
      </c>
      <c r="F31" s="68"/>
      <c r="G31" s="80" t="s">
        <v>80</v>
      </c>
      <c r="H31" s="68"/>
      <c r="I31" s="68"/>
      <c r="J31" s="68"/>
      <c r="K31" s="68"/>
      <c r="L31" s="75"/>
      <c r="M31" s="75"/>
      <c r="N31" s="75"/>
      <c r="O31" s="75"/>
      <c r="P31" s="75"/>
      <c r="Q31" s="75"/>
    </row>
    <row r="32" spans="1:17" ht="0" customHeight="1" hidden="1">
      <c r="A32" s="99" t="s">
        <v>75</v>
      </c>
      <c r="B32" s="71"/>
      <c r="C32" s="71"/>
      <c r="D32" s="71"/>
      <c r="E32" s="72" t="str">
        <f>FIXED(ROUND(K28,3),3)</f>
        <v>0.000</v>
      </c>
      <c r="F32" s="100" t="s">
        <v>81</v>
      </c>
      <c r="G32" s="73" t="str">
        <f>+"  Barrels : "&amp;H45</f>
        <v>  Barrels : 0.000</v>
      </c>
      <c r="H32" s="73"/>
      <c r="I32" s="73"/>
      <c r="J32" s="74" t="s">
        <v>31</v>
      </c>
      <c r="K32" s="101">
        <f>ROUND(K28*E31,3)</f>
        <v>0</v>
      </c>
      <c r="L32" s="75"/>
      <c r="M32" s="75"/>
      <c r="N32" s="75"/>
      <c r="O32" s="75"/>
      <c r="P32" s="75"/>
      <c r="Q32" s="75"/>
    </row>
    <row r="33" spans="1:17" ht="0" customHeight="1" hidden="1">
      <c r="A33" s="99" t="s">
        <v>75</v>
      </c>
      <c r="B33" s="71"/>
      <c r="C33" s="71"/>
      <c r="D33" s="71"/>
      <c r="E33" s="72" t="str">
        <f>FIXED(E32+F28,3)</f>
        <v>0.000</v>
      </c>
      <c r="F33" s="100" t="s">
        <v>81</v>
      </c>
      <c r="G33" s="73" t="str">
        <f>+"  Kilolitres : "&amp;H46</f>
        <v>  Kilolitres : 0.000</v>
      </c>
      <c r="H33" s="73"/>
      <c r="I33" s="73"/>
      <c r="J33" s="74" t="s">
        <v>32</v>
      </c>
      <c r="K33" s="102">
        <f>ROUND(K32*0.984206,2)</f>
        <v>0</v>
      </c>
      <c r="L33" s="75"/>
      <c r="M33" s="75"/>
      <c r="N33" s="75"/>
      <c r="O33" s="75"/>
      <c r="P33" s="75"/>
      <c r="Q33" s="75"/>
    </row>
    <row r="34" spans="1:17" ht="0" customHeight="1" hidden="1">
      <c r="A34" s="77" t="s">
        <v>33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75"/>
      <c r="M34" s="75"/>
      <c r="N34" s="75"/>
      <c r="O34" s="75"/>
      <c r="P34" s="75"/>
      <c r="Q34" s="75"/>
    </row>
    <row r="35" spans="1:17" ht="0" customHeight="1" hidden="1">
      <c r="A35" s="77" t="s">
        <v>34</v>
      </c>
      <c r="B35" s="103"/>
      <c r="C35" s="103"/>
      <c r="D35" s="104" t="s">
        <v>82</v>
      </c>
      <c r="E35" s="103"/>
      <c r="F35" s="103"/>
      <c r="G35" s="77" t="s">
        <v>35</v>
      </c>
      <c r="H35" s="68"/>
      <c r="I35" s="68"/>
      <c r="J35" s="105" t="s">
        <v>36</v>
      </c>
      <c r="K35" s="68"/>
      <c r="L35" s="75"/>
      <c r="M35" s="75"/>
      <c r="N35" s="75"/>
      <c r="O35" s="75"/>
      <c r="P35" s="75"/>
      <c r="Q35" s="75"/>
    </row>
    <row r="36" spans="1:17" ht="0" customHeight="1" hidden="1">
      <c r="A36" s="77" t="s">
        <v>37</v>
      </c>
      <c r="B36" s="103"/>
      <c r="C36" s="103"/>
      <c r="D36" s="104" t="s">
        <v>38</v>
      </c>
      <c r="E36" s="103"/>
      <c r="F36" s="103"/>
      <c r="G36" s="77" t="s">
        <v>39</v>
      </c>
      <c r="H36" s="68"/>
      <c r="I36" s="68"/>
      <c r="J36" s="105" t="s">
        <v>36</v>
      </c>
      <c r="K36" s="68"/>
      <c r="L36" s="75"/>
      <c r="M36" s="75"/>
      <c r="N36" s="75"/>
      <c r="O36" s="75"/>
      <c r="P36" s="75"/>
      <c r="Q36" s="75"/>
    </row>
    <row r="37" spans="1:17" ht="0" customHeight="1" hidden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75"/>
      <c r="M37" s="75"/>
      <c r="N37" s="75"/>
      <c r="O37" s="75"/>
      <c r="P37" s="75"/>
      <c r="Q37" s="75"/>
    </row>
    <row r="38" spans="1:17" ht="0" customHeight="1" hidden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75"/>
      <c r="M38" s="75"/>
      <c r="N38" s="75"/>
      <c r="O38" s="75"/>
      <c r="P38" s="75"/>
      <c r="Q38" s="75"/>
    </row>
    <row r="39" spans="1:17" ht="0" customHeight="1" hidden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5"/>
      <c r="M39" s="75"/>
      <c r="N39" s="75"/>
      <c r="O39" s="75"/>
      <c r="P39" s="75"/>
      <c r="Q39" s="75"/>
    </row>
    <row r="40" spans="1:17" ht="0" customHeight="1" hidden="1">
      <c r="A40" s="80" t="s">
        <v>40</v>
      </c>
      <c r="B40" s="68"/>
      <c r="C40" s="68"/>
      <c r="D40" s="68"/>
      <c r="E40" s="68"/>
      <c r="F40" s="68"/>
      <c r="G40" s="68"/>
      <c r="H40" s="68"/>
      <c r="I40" s="68"/>
      <c r="J40" s="80" t="s">
        <v>41</v>
      </c>
      <c r="K40" s="68"/>
      <c r="L40" s="75"/>
      <c r="M40" s="75"/>
      <c r="N40" s="75"/>
      <c r="O40" s="75"/>
      <c r="P40" s="75"/>
      <c r="Q40" s="75"/>
    </row>
    <row r="41" spans="1:17" ht="0" customHeight="1" hidden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75"/>
      <c r="M41" s="75"/>
      <c r="N41" s="75"/>
      <c r="O41" s="75"/>
      <c r="P41" s="75"/>
      <c r="Q41" s="75"/>
    </row>
    <row r="42" spans="1:17" ht="0" customHeight="1" hidden="1">
      <c r="A42" s="106" t="s">
        <v>42</v>
      </c>
      <c r="B42" s="107"/>
      <c r="C42" s="107"/>
      <c r="D42" s="107"/>
      <c r="E42" s="107"/>
      <c r="F42" s="107"/>
      <c r="G42" s="107"/>
      <c r="H42" s="107"/>
      <c r="I42" s="68"/>
      <c r="J42" s="68"/>
      <c r="K42" s="68"/>
      <c r="L42" s="75"/>
      <c r="M42" s="75"/>
      <c r="N42" s="75"/>
      <c r="O42" s="75"/>
      <c r="P42" s="75"/>
      <c r="Q42" s="75"/>
    </row>
    <row r="43" spans="1:17" ht="0" customHeight="1" hidden="1">
      <c r="A43" s="106" t="s">
        <v>43</v>
      </c>
      <c r="B43" s="106"/>
      <c r="C43" s="106"/>
      <c r="D43" s="106"/>
      <c r="E43" s="106"/>
      <c r="F43" s="106"/>
      <c r="G43" s="106"/>
      <c r="H43" s="107"/>
      <c r="I43" s="68"/>
      <c r="J43" s="68"/>
      <c r="K43" s="68"/>
      <c r="L43" s="75"/>
      <c r="M43" s="75"/>
      <c r="N43" s="75"/>
      <c r="O43" s="75"/>
      <c r="P43" s="75"/>
      <c r="Q43" s="75"/>
    </row>
    <row r="44" spans="1:17" ht="0" customHeight="1" hidden="1">
      <c r="A44" s="68"/>
      <c r="B44" s="68"/>
      <c r="C44" s="68"/>
      <c r="D44" s="68"/>
      <c r="E44" s="68"/>
      <c r="F44" s="68"/>
      <c r="G44" s="80" t="s">
        <v>44</v>
      </c>
      <c r="H44" s="68">
        <f>IF(H10&lt;0.697,6.295,IF(H10&lt;0.778,6.294,IF(H10&lt;0.901,6.293,IF(10&lt;1.074,6.292,6.292))))</f>
        <v>6.292</v>
      </c>
      <c r="I44" s="68"/>
      <c r="J44" s="68"/>
      <c r="K44" s="68"/>
      <c r="L44" s="75"/>
      <c r="M44" s="75"/>
      <c r="N44" s="75"/>
      <c r="O44" s="75"/>
      <c r="P44" s="75"/>
      <c r="Q44" s="75"/>
    </row>
    <row r="45" spans="1:17" ht="0" customHeight="1" hidden="1">
      <c r="A45" s="68"/>
      <c r="B45" s="68"/>
      <c r="C45" s="68"/>
      <c r="D45" s="68"/>
      <c r="E45" s="68"/>
      <c r="F45" s="68"/>
      <c r="G45" s="80" t="s">
        <v>45</v>
      </c>
      <c r="H45" s="108" t="str">
        <f>FIXED(ROUND(K28*H44,3),3)</f>
        <v>0.000</v>
      </c>
      <c r="I45" s="68"/>
      <c r="J45" s="68"/>
      <c r="K45" s="68"/>
      <c r="L45" s="75"/>
      <c r="M45" s="75"/>
      <c r="N45" s="75"/>
      <c r="O45" s="75"/>
      <c r="P45" s="75"/>
      <c r="Q45" s="75"/>
    </row>
    <row r="46" spans="1:17" ht="0" customHeight="1" hidden="1">
      <c r="A46" s="68"/>
      <c r="B46" s="68"/>
      <c r="C46" s="68"/>
      <c r="D46" s="68"/>
      <c r="E46" s="68"/>
      <c r="F46" s="68"/>
      <c r="G46" s="80" t="s">
        <v>46</v>
      </c>
      <c r="H46" s="108" t="str">
        <f>FIXED(ROUND(H45/6.28981,3),3)</f>
        <v>0.000</v>
      </c>
      <c r="I46" s="68"/>
      <c r="J46" s="68"/>
      <c r="K46" s="68"/>
      <c r="L46" s="75"/>
      <c r="M46" s="75"/>
      <c r="N46" s="75"/>
      <c r="O46" s="75"/>
      <c r="P46" s="75"/>
      <c r="Q46" s="75"/>
    </row>
    <row r="47" spans="1:17" ht="0" customHeight="1" hidden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75"/>
      <c r="M47" s="75"/>
      <c r="N47" s="75"/>
      <c r="O47" s="75"/>
      <c r="P47" s="75"/>
      <c r="Q47" s="75"/>
    </row>
    <row r="48" spans="1:17" ht="0" customHeight="1" hidden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75"/>
      <c r="M48" s="75"/>
      <c r="N48" s="75"/>
      <c r="O48" s="75"/>
      <c r="P48" s="75"/>
      <c r="Q48" s="75"/>
    </row>
    <row r="49" spans="1:17" ht="0" customHeight="1" hidden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75"/>
      <c r="M49" s="75"/>
      <c r="N49" s="75"/>
      <c r="O49" s="75"/>
      <c r="P49" s="75"/>
      <c r="Q49" s="75"/>
    </row>
    <row r="50" spans="1:17" ht="0" customHeight="1" hidden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75"/>
      <c r="M50" s="75"/>
      <c r="N50" s="75"/>
      <c r="O50" s="75"/>
      <c r="P50" s="75"/>
      <c r="Q50" s="75"/>
    </row>
    <row r="51" spans="1:17" ht="0" customHeight="1" hidden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75"/>
      <c r="M51" s="75"/>
      <c r="N51" s="75"/>
      <c r="O51" s="75"/>
      <c r="P51" s="75"/>
      <c r="Q51" s="75"/>
    </row>
    <row r="52" spans="1:17" ht="0" customHeight="1" hidden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75"/>
      <c r="M52" s="75"/>
      <c r="N52" s="75"/>
      <c r="O52" s="75"/>
      <c r="P52" s="75"/>
      <c r="Q52" s="75"/>
    </row>
    <row r="53" spans="1:17" ht="0" customHeight="1" hidden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75"/>
      <c r="M53" s="75"/>
      <c r="N53" s="75"/>
      <c r="O53" s="75"/>
      <c r="P53" s="75"/>
      <c r="Q53" s="75"/>
    </row>
    <row r="54" spans="1:17" ht="0" customHeight="1" hidden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75"/>
      <c r="M54" s="75"/>
      <c r="N54" s="75"/>
      <c r="O54" s="75"/>
      <c r="P54" s="75"/>
      <c r="Q54" s="75"/>
    </row>
    <row r="55" spans="1:17" ht="0" customHeight="1" hidden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0" customHeight="1" hidden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0" customHeight="1" hidden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ht="0" customHeight="1" hidden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0" customHeight="1" hidden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0" customHeight="1" hidden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5.7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</sheetData>
  <sheetProtection password="C6EF" sheet="1" objects="1" scenarios="1" selectLockedCells="1" selectUnlockedCells="1"/>
  <printOptions horizontalCentered="1" verticalCentered="1"/>
  <pageMargins left="0.2362204724409449" right="0.2362204724409449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8"/>
  <sheetViews>
    <sheetView showGridLines="0" zoomScaleSheetLayoutView="100" workbookViewId="0" topLeftCell="A296">
      <selection activeCell="A1" sqref="A1:IV10"/>
    </sheetView>
  </sheetViews>
  <sheetFormatPr defaultColWidth="9.140625" defaultRowHeight="12.75"/>
  <cols>
    <col min="1" max="1" width="10.28125" style="4" customWidth="1"/>
    <col min="2" max="2" width="9.8515625" style="4" customWidth="1"/>
    <col min="3" max="3" width="9.57421875" style="4" customWidth="1"/>
    <col min="4" max="4" width="13.421875" style="4" customWidth="1"/>
    <col min="5" max="5" width="9.28125" style="4" customWidth="1"/>
    <col min="6" max="6" width="8.57421875" style="4" customWidth="1"/>
    <col min="7" max="7" width="12.7109375" style="4" bestFit="1" customWidth="1"/>
    <col min="8" max="8" width="8.57421875" style="4" customWidth="1"/>
    <col min="9" max="9" width="10.8515625" style="4" customWidth="1"/>
    <col min="10" max="10" width="12.8515625" style="4" customWidth="1"/>
    <col min="11" max="11" width="16.00390625" style="4" customWidth="1"/>
    <col min="12" max="16384" width="11.57421875" style="4" customWidth="1"/>
  </cols>
  <sheetData>
    <row r="1" spans="1:18" ht="3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3">
        <f>ROUND(H10,2)</f>
        <v>-5.4</v>
      </c>
      <c r="P1" s="3">
        <f>INT(O1*10)/10</f>
        <v>-5.4</v>
      </c>
      <c r="Q1" s="3">
        <f>P1+0.1</f>
        <v>-5.300000000000001</v>
      </c>
      <c r="R1" s="2"/>
    </row>
    <row r="2" spans="1:18" ht="37.5" customHeight="1" hidden="1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3"/>
      <c r="O2" s="3"/>
      <c r="P2" s="3">
        <f>0.042*((535.186/(P1+131.5))-0.004621)</f>
        <v>0.17805978001427442</v>
      </c>
      <c r="Q2" s="3">
        <f>0.042*((535.186/(Q1+131.5))-0.004621)</f>
        <v>0.17791853289698892</v>
      </c>
      <c r="R2" s="2"/>
    </row>
    <row r="3" spans="1:18" ht="37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"/>
      <c r="P3" s="3">
        <f>IF(P1&gt;12,P2+0.0000001,0)</f>
        <v>0</v>
      </c>
      <c r="Q3" s="3">
        <f>IF(Q1&gt;12,Q2+0.0000001,0)</f>
        <v>0</v>
      </c>
      <c r="R3" s="2"/>
    </row>
    <row r="4" spans="1:18" ht="37.5" customHeight="1" hidden="1">
      <c r="A4" s="5"/>
      <c r="B4" s="1"/>
      <c r="C4" s="1"/>
      <c r="D4" s="1"/>
      <c r="E4" s="1"/>
      <c r="F4" s="19"/>
      <c r="G4" s="1"/>
      <c r="H4" s="1"/>
      <c r="I4" s="1"/>
      <c r="J4" s="1"/>
      <c r="K4" s="1"/>
      <c r="L4" s="2"/>
      <c r="M4" s="3">
        <f>ROUND(H10/0.5,0)*0.5</f>
        <v>-5.5</v>
      </c>
      <c r="N4" s="3">
        <f>IF(M4&lt;37,103.872,IF(M4&lt;48,330.301,IF(M4&lt;=52,-0.001868,192.4577)))</f>
        <v>103.872</v>
      </c>
      <c r="O4" s="3">
        <f>IF(M4&lt;37,0.2701,IF(M4&lt;48,0,IF(M4&lt;=52,1489.067,0.2438)))</f>
        <v>0.2701</v>
      </c>
      <c r="P4" s="3">
        <f>IF(AND(P1=48.8,P1=56.9,P1=59.9),P3+0.000006,P3)</f>
        <v>0</v>
      </c>
      <c r="Q4" s="3">
        <f>IF(AND(Q1=48.8,Q1=56.9,Q1=59.9),Q3+0.000006,Q3)</f>
        <v>0</v>
      </c>
      <c r="R4" s="2"/>
    </row>
    <row r="5" spans="1:18" ht="37.5" customHeight="1" hidden="1">
      <c r="A5" s="5"/>
      <c r="B5" s="1"/>
      <c r="C5" s="1"/>
      <c r="D5" s="1"/>
      <c r="E5" s="1"/>
      <c r="F5" s="19"/>
      <c r="G5" s="1"/>
      <c r="H5" s="1"/>
      <c r="I5" s="1"/>
      <c r="J5" s="1"/>
      <c r="K5" s="1"/>
      <c r="L5" s="2"/>
      <c r="M5" s="2"/>
      <c r="N5" s="3"/>
      <c r="O5" s="3">
        <f>ROUND(N4+O4/N10^2,7)</f>
        <v>103.8720002</v>
      </c>
      <c r="P5" s="3">
        <f>ROUND(P4,5)</f>
        <v>0</v>
      </c>
      <c r="Q5" s="3">
        <f>ROUND(Q4,5)</f>
        <v>0</v>
      </c>
      <c r="R5" s="2"/>
    </row>
    <row r="6" spans="1:18" ht="37.5" customHeight="1" hidden="1">
      <c r="A6" s="5"/>
      <c r="B6" s="1"/>
      <c r="C6" s="5"/>
      <c r="D6" s="1"/>
      <c r="E6" s="1"/>
      <c r="F6" s="5"/>
      <c r="G6" s="5"/>
      <c r="H6" s="5"/>
      <c r="I6" s="1"/>
      <c r="J6" s="1"/>
      <c r="K6" s="1"/>
      <c r="L6" s="2"/>
      <c r="M6" s="20" t="s">
        <v>11</v>
      </c>
      <c r="N6" s="3"/>
      <c r="O6" s="3">
        <f>ROUND(N4/N10^2+O4/N10,7)</f>
        <v>0.0003233</v>
      </c>
      <c r="P6" s="3">
        <f>ROUND((Q5-P5)*(10*(O1-P1))+P5,5)</f>
        <v>0</v>
      </c>
      <c r="Q6" s="3"/>
      <c r="R6" s="2"/>
    </row>
    <row r="7" spans="1:18" ht="37.5" customHeight="1" hidden="1">
      <c r="A7" s="21" t="s">
        <v>12</v>
      </c>
      <c r="B7" s="21"/>
      <c r="C7" s="21" t="s">
        <v>13</v>
      </c>
      <c r="D7" s="22" t="s">
        <v>14</v>
      </c>
      <c r="E7" s="23" t="s">
        <v>15</v>
      </c>
      <c r="F7" s="21" t="s">
        <v>16</v>
      </c>
      <c r="G7" s="21" t="s">
        <v>17</v>
      </c>
      <c r="H7" s="21" t="s">
        <v>18</v>
      </c>
      <c r="I7" s="21" t="s">
        <v>19</v>
      </c>
      <c r="J7" s="21" t="s">
        <v>20</v>
      </c>
      <c r="K7" s="24" t="s">
        <v>21</v>
      </c>
      <c r="L7" s="2"/>
      <c r="M7" s="3">
        <f>ROUND(H10*500,0)*2</f>
        <v>-5400</v>
      </c>
      <c r="N7" s="3"/>
      <c r="O7" s="3">
        <f>IF(M8&lt;48,O6,IF(M8&gt;52,O6,O5))</f>
        <v>0.0003233</v>
      </c>
      <c r="P7" s="3"/>
      <c r="Q7" s="3"/>
      <c r="R7" s="2"/>
    </row>
    <row r="8" spans="1:18" ht="37.5" customHeight="1" hidden="1">
      <c r="A8" s="25" t="s">
        <v>22</v>
      </c>
      <c r="B8" s="25" t="s">
        <v>23</v>
      </c>
      <c r="C8" s="25" t="s">
        <v>23</v>
      </c>
      <c r="D8" s="26"/>
      <c r="E8" s="27" t="s">
        <v>24</v>
      </c>
      <c r="F8" s="25" t="s">
        <v>25</v>
      </c>
      <c r="G8" s="25"/>
      <c r="H8" s="25" t="s">
        <v>0</v>
      </c>
      <c r="I8" s="25" t="s">
        <v>26</v>
      </c>
      <c r="J8" s="25" t="s">
        <v>27</v>
      </c>
      <c r="K8" s="28"/>
      <c r="L8" s="2"/>
      <c r="M8" s="3">
        <f>IF(H10&lt;0.7704,346.4228,IF(H10&lt;=0.7875,-0.0033631,IF(H10&lt;0.839,594.5418,186.9696)))</f>
        <v>346.4228</v>
      </c>
      <c r="N8" s="2"/>
      <c r="O8" s="2"/>
      <c r="P8" s="2"/>
      <c r="Q8" s="2"/>
      <c r="R8" s="2"/>
    </row>
    <row r="9" spans="1:18" ht="37.5" customHeight="1" hidden="1">
      <c r="A9" s="29"/>
      <c r="B9" s="29"/>
      <c r="C9" s="29"/>
      <c r="D9" s="30"/>
      <c r="E9" s="31"/>
      <c r="F9" s="29"/>
      <c r="G9" s="29"/>
      <c r="H9" s="29" t="s">
        <v>0</v>
      </c>
      <c r="I9" s="29" t="s">
        <v>50</v>
      </c>
      <c r="J9" s="29" t="s">
        <v>51</v>
      </c>
      <c r="K9" s="32"/>
      <c r="L9" s="2"/>
      <c r="M9" s="3">
        <f>IF(H10&lt;0.7704,0.4388,IF(H10&lt;=0.7875,2680.3206,IF(H10&lt;0.839,0,0.4862)))</f>
        <v>0.4388</v>
      </c>
      <c r="N9" s="2"/>
      <c r="O9" s="2"/>
      <c r="P9" s="2"/>
      <c r="Q9" s="2"/>
      <c r="R9" s="2"/>
    </row>
    <row r="10" spans="1:18" ht="21" customHeight="1" hidden="1">
      <c r="A10" s="6"/>
      <c r="B10" s="7"/>
      <c r="C10" s="7"/>
      <c r="D10" s="33"/>
      <c r="E10" s="8"/>
      <c r="F10" s="34"/>
      <c r="G10" s="34"/>
      <c r="H10" s="35">
        <f>'ASTM SOFTWARE'!H8</f>
        <v>-5.4</v>
      </c>
      <c r="I10" s="36">
        <f>'ASTM SOFTWARE'!H14</f>
        <v>185</v>
      </c>
      <c r="J10" s="9">
        <f>P10</f>
        <v>0.9591</v>
      </c>
      <c r="K10" s="34"/>
      <c r="L10" s="3">
        <f aca="true" t="shared" si="0" ref="L10:L27">ROUND(K10*$E$31,3)</f>
        <v>0</v>
      </c>
      <c r="M10" s="3">
        <f aca="true" t="shared" si="1" ref="M10:M27">ROUND(I10/0.5,0)*0.5-60</f>
        <v>125</v>
      </c>
      <c r="N10" s="3">
        <f aca="true" t="shared" si="2" ref="N10:N27">ROUND(141.5*999.012/($M$4+131.5),2)</f>
        <v>1121.91</v>
      </c>
      <c r="O10" s="3">
        <f aca="true" t="shared" si="3" ref="O10:O27">$O$7</f>
        <v>0.0003233</v>
      </c>
      <c r="P10" s="3">
        <f aca="true" t="shared" si="4" ref="P10:P27">ROUND(EXP(-O10*M10-0.8*O10^2*M10^2),4)</f>
        <v>0.9591</v>
      </c>
      <c r="Q10" s="3"/>
      <c r="R10" s="2"/>
    </row>
    <row r="11" spans="1:18" ht="0" customHeight="1" hidden="1">
      <c r="A11" s="6"/>
      <c r="B11" s="7"/>
      <c r="C11" s="7"/>
      <c r="D11" s="33"/>
      <c r="E11" s="6"/>
      <c r="F11" s="34"/>
      <c r="G11" s="34"/>
      <c r="H11" s="35"/>
      <c r="I11" s="36"/>
      <c r="J11" s="9"/>
      <c r="K11" s="34"/>
      <c r="L11" s="3">
        <f t="shared" si="0"/>
        <v>0</v>
      </c>
      <c r="M11" s="3">
        <f t="shared" si="1"/>
        <v>-60</v>
      </c>
      <c r="N11" s="3">
        <f t="shared" si="2"/>
        <v>1121.91</v>
      </c>
      <c r="O11" s="3">
        <f t="shared" si="3"/>
        <v>0.0003233</v>
      </c>
      <c r="P11" s="3">
        <f t="shared" si="4"/>
        <v>1.0193</v>
      </c>
      <c r="Q11" s="3"/>
      <c r="R11" s="2"/>
    </row>
    <row r="12" spans="1:18" ht="0" customHeight="1" hidden="1">
      <c r="A12" s="6"/>
      <c r="B12" s="7"/>
      <c r="C12" s="7"/>
      <c r="D12" s="33"/>
      <c r="E12" s="6"/>
      <c r="F12" s="34"/>
      <c r="G12" s="34"/>
      <c r="H12" s="35"/>
      <c r="I12" s="36"/>
      <c r="J12" s="9"/>
      <c r="K12" s="34"/>
      <c r="L12" s="3">
        <f t="shared" si="0"/>
        <v>0</v>
      </c>
      <c r="M12" s="3">
        <f t="shared" si="1"/>
        <v>-60</v>
      </c>
      <c r="N12" s="3">
        <f t="shared" si="2"/>
        <v>1121.91</v>
      </c>
      <c r="O12" s="3">
        <f t="shared" si="3"/>
        <v>0.0003233</v>
      </c>
      <c r="P12" s="3">
        <f t="shared" si="4"/>
        <v>1.0193</v>
      </c>
      <c r="Q12" s="3"/>
      <c r="R12" s="2"/>
    </row>
    <row r="13" spans="1:18" ht="0" customHeight="1" hidden="1">
      <c r="A13" s="6"/>
      <c r="B13" s="7"/>
      <c r="C13" s="7"/>
      <c r="D13" s="33"/>
      <c r="E13" s="6"/>
      <c r="F13" s="34"/>
      <c r="G13" s="34"/>
      <c r="H13" s="35"/>
      <c r="I13" s="36"/>
      <c r="J13" s="9"/>
      <c r="K13" s="34"/>
      <c r="L13" s="3">
        <f t="shared" si="0"/>
        <v>0</v>
      </c>
      <c r="M13" s="3">
        <f t="shared" si="1"/>
        <v>-60</v>
      </c>
      <c r="N13" s="3">
        <f t="shared" si="2"/>
        <v>1121.91</v>
      </c>
      <c r="O13" s="3">
        <f t="shared" si="3"/>
        <v>0.0003233</v>
      </c>
      <c r="P13" s="3">
        <f t="shared" si="4"/>
        <v>1.0193</v>
      </c>
      <c r="Q13" s="3"/>
      <c r="R13" s="2"/>
    </row>
    <row r="14" spans="1:18" ht="0" customHeight="1" hidden="1">
      <c r="A14" s="6"/>
      <c r="B14" s="7"/>
      <c r="C14" s="7"/>
      <c r="D14" s="33"/>
      <c r="E14" s="6"/>
      <c r="F14" s="34"/>
      <c r="G14" s="34"/>
      <c r="H14" s="35"/>
      <c r="I14" s="36"/>
      <c r="J14" s="9"/>
      <c r="K14" s="34"/>
      <c r="L14" s="3">
        <f t="shared" si="0"/>
        <v>0</v>
      </c>
      <c r="M14" s="3">
        <f t="shared" si="1"/>
        <v>-60</v>
      </c>
      <c r="N14" s="3">
        <f t="shared" si="2"/>
        <v>1121.91</v>
      </c>
      <c r="O14" s="3">
        <f t="shared" si="3"/>
        <v>0.0003233</v>
      </c>
      <c r="P14" s="3">
        <f t="shared" si="4"/>
        <v>1.0193</v>
      </c>
      <c r="Q14" s="3"/>
      <c r="R14" s="2"/>
    </row>
    <row r="15" spans="1:18" ht="0" customHeight="1" hidden="1">
      <c r="A15" s="6"/>
      <c r="B15" s="7"/>
      <c r="C15" s="7"/>
      <c r="D15" s="33"/>
      <c r="E15" s="6"/>
      <c r="F15" s="34"/>
      <c r="G15" s="34"/>
      <c r="H15" s="35"/>
      <c r="I15" s="36"/>
      <c r="J15" s="9"/>
      <c r="K15" s="34"/>
      <c r="L15" s="3">
        <f t="shared" si="0"/>
        <v>0</v>
      </c>
      <c r="M15" s="3">
        <f t="shared" si="1"/>
        <v>-60</v>
      </c>
      <c r="N15" s="3">
        <f t="shared" si="2"/>
        <v>1121.91</v>
      </c>
      <c r="O15" s="3">
        <f t="shared" si="3"/>
        <v>0.0003233</v>
      </c>
      <c r="P15" s="3">
        <f t="shared" si="4"/>
        <v>1.0193</v>
      </c>
      <c r="Q15" s="3"/>
      <c r="R15" s="2"/>
    </row>
    <row r="16" spans="1:18" ht="0" customHeight="1" hidden="1">
      <c r="A16" s="6"/>
      <c r="B16" s="7"/>
      <c r="C16" s="7"/>
      <c r="D16" s="33"/>
      <c r="E16" s="6"/>
      <c r="F16" s="34"/>
      <c r="G16" s="34"/>
      <c r="H16" s="35"/>
      <c r="I16" s="36"/>
      <c r="J16" s="9"/>
      <c r="K16" s="34"/>
      <c r="L16" s="3">
        <f t="shared" si="0"/>
        <v>0</v>
      </c>
      <c r="M16" s="3">
        <f t="shared" si="1"/>
        <v>-60</v>
      </c>
      <c r="N16" s="3">
        <f t="shared" si="2"/>
        <v>1121.91</v>
      </c>
      <c r="O16" s="3">
        <f t="shared" si="3"/>
        <v>0.0003233</v>
      </c>
      <c r="P16" s="3">
        <f t="shared" si="4"/>
        <v>1.0193</v>
      </c>
      <c r="Q16" s="3"/>
      <c r="R16" s="2"/>
    </row>
    <row r="17" spans="1:18" ht="0" customHeight="1" hidden="1">
      <c r="A17" s="6"/>
      <c r="B17" s="7"/>
      <c r="C17" s="7"/>
      <c r="D17" s="33"/>
      <c r="E17" s="6"/>
      <c r="F17" s="34"/>
      <c r="G17" s="34"/>
      <c r="H17" s="35"/>
      <c r="I17" s="36"/>
      <c r="J17" s="9"/>
      <c r="K17" s="34"/>
      <c r="L17" s="3">
        <f t="shared" si="0"/>
        <v>0</v>
      </c>
      <c r="M17" s="3">
        <f t="shared" si="1"/>
        <v>-60</v>
      </c>
      <c r="N17" s="3">
        <f t="shared" si="2"/>
        <v>1121.91</v>
      </c>
      <c r="O17" s="3">
        <f t="shared" si="3"/>
        <v>0.0003233</v>
      </c>
      <c r="P17" s="3">
        <f t="shared" si="4"/>
        <v>1.0193</v>
      </c>
      <c r="Q17" s="3"/>
      <c r="R17" s="2"/>
    </row>
    <row r="18" spans="1:18" ht="0" customHeight="1" hidden="1">
      <c r="A18" s="6"/>
      <c r="B18" s="7"/>
      <c r="C18" s="7"/>
      <c r="D18" s="33"/>
      <c r="E18" s="6"/>
      <c r="F18" s="34"/>
      <c r="G18" s="34"/>
      <c r="H18" s="35"/>
      <c r="I18" s="36"/>
      <c r="J18" s="9"/>
      <c r="K18" s="34"/>
      <c r="L18" s="3">
        <f t="shared" si="0"/>
        <v>0</v>
      </c>
      <c r="M18" s="3">
        <f t="shared" si="1"/>
        <v>-60</v>
      </c>
      <c r="N18" s="3">
        <f t="shared" si="2"/>
        <v>1121.91</v>
      </c>
      <c r="O18" s="3">
        <f t="shared" si="3"/>
        <v>0.0003233</v>
      </c>
      <c r="P18" s="3">
        <f t="shared" si="4"/>
        <v>1.0193</v>
      </c>
      <c r="Q18" s="3"/>
      <c r="R18" s="2"/>
    </row>
    <row r="19" spans="1:18" ht="0" customHeight="1" hidden="1">
      <c r="A19" s="6"/>
      <c r="B19" s="7"/>
      <c r="C19" s="7"/>
      <c r="D19" s="33"/>
      <c r="E19" s="6"/>
      <c r="F19" s="34"/>
      <c r="G19" s="34"/>
      <c r="H19" s="35"/>
      <c r="I19" s="36"/>
      <c r="J19" s="9"/>
      <c r="K19" s="34"/>
      <c r="L19" s="3">
        <f t="shared" si="0"/>
        <v>0</v>
      </c>
      <c r="M19" s="3">
        <f t="shared" si="1"/>
        <v>-60</v>
      </c>
      <c r="N19" s="3">
        <f t="shared" si="2"/>
        <v>1121.91</v>
      </c>
      <c r="O19" s="3">
        <f t="shared" si="3"/>
        <v>0.0003233</v>
      </c>
      <c r="P19" s="3">
        <f t="shared" si="4"/>
        <v>1.0193</v>
      </c>
      <c r="Q19" s="3"/>
      <c r="R19" s="2"/>
    </row>
    <row r="20" spans="1:18" ht="0" customHeight="1" hidden="1">
      <c r="A20" s="6"/>
      <c r="B20" s="7"/>
      <c r="C20" s="7"/>
      <c r="D20" s="33"/>
      <c r="E20" s="6"/>
      <c r="F20" s="34"/>
      <c r="G20" s="34"/>
      <c r="H20" s="35"/>
      <c r="I20" s="36"/>
      <c r="J20" s="9"/>
      <c r="K20" s="34"/>
      <c r="L20" s="3">
        <f t="shared" si="0"/>
        <v>0</v>
      </c>
      <c r="M20" s="3">
        <f t="shared" si="1"/>
        <v>-60</v>
      </c>
      <c r="N20" s="3">
        <f t="shared" si="2"/>
        <v>1121.91</v>
      </c>
      <c r="O20" s="3">
        <f t="shared" si="3"/>
        <v>0.0003233</v>
      </c>
      <c r="P20" s="3">
        <f t="shared" si="4"/>
        <v>1.0193</v>
      </c>
      <c r="Q20" s="3"/>
      <c r="R20" s="2"/>
    </row>
    <row r="21" spans="1:18" ht="0" customHeight="1" hidden="1">
      <c r="A21" s="6"/>
      <c r="B21" s="7"/>
      <c r="C21" s="7"/>
      <c r="D21" s="33"/>
      <c r="E21" s="6"/>
      <c r="F21" s="34"/>
      <c r="G21" s="34"/>
      <c r="H21" s="35"/>
      <c r="I21" s="36"/>
      <c r="J21" s="9"/>
      <c r="K21" s="34"/>
      <c r="L21" s="3">
        <f t="shared" si="0"/>
        <v>0</v>
      </c>
      <c r="M21" s="3">
        <f t="shared" si="1"/>
        <v>-60</v>
      </c>
      <c r="N21" s="3">
        <f t="shared" si="2"/>
        <v>1121.91</v>
      </c>
      <c r="O21" s="3">
        <f t="shared" si="3"/>
        <v>0.0003233</v>
      </c>
      <c r="P21" s="3">
        <f t="shared" si="4"/>
        <v>1.0193</v>
      </c>
      <c r="Q21" s="3"/>
      <c r="R21" s="2"/>
    </row>
    <row r="22" spans="1:18" ht="0" customHeight="1" hidden="1">
      <c r="A22" s="6"/>
      <c r="B22" s="37"/>
      <c r="C22" s="37"/>
      <c r="D22" s="38"/>
      <c r="E22" s="39"/>
      <c r="F22" s="40"/>
      <c r="G22" s="40"/>
      <c r="H22" s="41"/>
      <c r="I22" s="42"/>
      <c r="J22" s="43"/>
      <c r="K22" s="40"/>
      <c r="L22" s="3">
        <f t="shared" si="0"/>
        <v>0</v>
      </c>
      <c r="M22" s="3">
        <f t="shared" si="1"/>
        <v>-60</v>
      </c>
      <c r="N22" s="3">
        <f t="shared" si="2"/>
        <v>1121.91</v>
      </c>
      <c r="O22" s="3">
        <f t="shared" si="3"/>
        <v>0.0003233</v>
      </c>
      <c r="P22" s="3">
        <f t="shared" si="4"/>
        <v>1.0193</v>
      </c>
      <c r="Q22" s="3"/>
      <c r="R22" s="2"/>
    </row>
    <row r="23" spans="1:18" ht="0" customHeight="1" hidden="1">
      <c r="A23" s="6"/>
      <c r="B23" s="37"/>
      <c r="C23" s="37"/>
      <c r="D23" s="38"/>
      <c r="E23" s="39"/>
      <c r="F23" s="40"/>
      <c r="G23" s="40"/>
      <c r="H23" s="41"/>
      <c r="I23" s="42"/>
      <c r="J23" s="43"/>
      <c r="K23" s="40"/>
      <c r="L23" s="3">
        <f t="shared" si="0"/>
        <v>0</v>
      </c>
      <c r="M23" s="3">
        <f t="shared" si="1"/>
        <v>-60</v>
      </c>
      <c r="N23" s="3">
        <f t="shared" si="2"/>
        <v>1121.91</v>
      </c>
      <c r="O23" s="3">
        <f t="shared" si="3"/>
        <v>0.0003233</v>
      </c>
      <c r="P23" s="3">
        <f t="shared" si="4"/>
        <v>1.0193</v>
      </c>
      <c r="Q23" s="3"/>
      <c r="R23" s="2"/>
    </row>
    <row r="24" spans="1:18" ht="0" customHeight="1" hidden="1">
      <c r="A24" s="6"/>
      <c r="B24" s="37"/>
      <c r="C24" s="37"/>
      <c r="D24" s="38"/>
      <c r="E24" s="39"/>
      <c r="F24" s="40"/>
      <c r="G24" s="40"/>
      <c r="H24" s="41"/>
      <c r="I24" s="42"/>
      <c r="J24" s="43"/>
      <c r="K24" s="40"/>
      <c r="L24" s="3">
        <f t="shared" si="0"/>
        <v>0</v>
      </c>
      <c r="M24" s="3">
        <f t="shared" si="1"/>
        <v>-60</v>
      </c>
      <c r="N24" s="3">
        <f t="shared" si="2"/>
        <v>1121.91</v>
      </c>
      <c r="O24" s="3">
        <f t="shared" si="3"/>
        <v>0.0003233</v>
      </c>
      <c r="P24" s="3">
        <f t="shared" si="4"/>
        <v>1.0193</v>
      </c>
      <c r="Q24" s="3"/>
      <c r="R24" s="2"/>
    </row>
    <row r="25" spans="1:18" ht="0" customHeight="1" hidden="1">
      <c r="A25" s="6"/>
      <c r="B25" s="37"/>
      <c r="C25" s="37"/>
      <c r="D25" s="38"/>
      <c r="E25" s="39"/>
      <c r="F25" s="40"/>
      <c r="G25" s="40"/>
      <c r="H25" s="41"/>
      <c r="I25" s="42"/>
      <c r="J25" s="43"/>
      <c r="K25" s="40"/>
      <c r="L25" s="3">
        <f t="shared" si="0"/>
        <v>0</v>
      </c>
      <c r="M25" s="3">
        <f t="shared" si="1"/>
        <v>-60</v>
      </c>
      <c r="N25" s="3">
        <f t="shared" si="2"/>
        <v>1121.91</v>
      </c>
      <c r="O25" s="3">
        <f t="shared" si="3"/>
        <v>0.0003233</v>
      </c>
      <c r="P25" s="3">
        <f t="shared" si="4"/>
        <v>1.0193</v>
      </c>
      <c r="Q25" s="3"/>
      <c r="R25" s="2"/>
    </row>
    <row r="26" spans="1:18" ht="0" customHeight="1" hidden="1">
      <c r="A26" s="6"/>
      <c r="B26" s="37"/>
      <c r="C26" s="37"/>
      <c r="D26" s="38"/>
      <c r="E26" s="39"/>
      <c r="F26" s="40"/>
      <c r="G26" s="40"/>
      <c r="H26" s="41"/>
      <c r="I26" s="42"/>
      <c r="J26" s="43"/>
      <c r="K26" s="40"/>
      <c r="L26" s="3">
        <f t="shared" si="0"/>
        <v>0</v>
      </c>
      <c r="M26" s="3">
        <f t="shared" si="1"/>
        <v>-60</v>
      </c>
      <c r="N26" s="3">
        <f t="shared" si="2"/>
        <v>1121.91</v>
      </c>
      <c r="O26" s="3">
        <f t="shared" si="3"/>
        <v>0.0003233</v>
      </c>
      <c r="P26" s="3">
        <f t="shared" si="4"/>
        <v>1.0193</v>
      </c>
      <c r="Q26" s="3"/>
      <c r="R26" s="2"/>
    </row>
    <row r="27" spans="1:18" ht="0" customHeight="1" hidden="1">
      <c r="A27" s="6"/>
      <c r="B27" s="37"/>
      <c r="C27" s="37"/>
      <c r="D27" s="38"/>
      <c r="E27" s="39"/>
      <c r="F27" s="40"/>
      <c r="G27" s="40"/>
      <c r="H27" s="41"/>
      <c r="I27" s="42"/>
      <c r="J27" s="43"/>
      <c r="K27" s="40"/>
      <c r="L27" s="3">
        <f t="shared" si="0"/>
        <v>0</v>
      </c>
      <c r="M27" s="3">
        <f t="shared" si="1"/>
        <v>-60</v>
      </c>
      <c r="N27" s="3">
        <f t="shared" si="2"/>
        <v>1121.91</v>
      </c>
      <c r="O27" s="3">
        <f t="shared" si="3"/>
        <v>0.0003233</v>
      </c>
      <c r="P27" s="3">
        <f t="shared" si="4"/>
        <v>1.0193</v>
      </c>
      <c r="Q27" s="3"/>
      <c r="R27" s="2"/>
    </row>
    <row r="28" spans="1:18" ht="0" customHeight="1" hidden="1">
      <c r="A28" s="1"/>
      <c r="B28" s="1"/>
      <c r="C28" s="44" t="s">
        <v>28</v>
      </c>
      <c r="D28" s="45">
        <f>SUM(D10:D27)</f>
        <v>0</v>
      </c>
      <c r="E28" s="46"/>
      <c r="F28" s="34">
        <f>SUM(F10:F27)</f>
        <v>0</v>
      </c>
      <c r="G28" s="45">
        <f>SUM(G10:G27)</f>
        <v>0</v>
      </c>
      <c r="H28" s="47"/>
      <c r="I28" s="47"/>
      <c r="J28" s="46"/>
      <c r="K28" s="45">
        <f>SUM(K10:K27)</f>
        <v>0</v>
      </c>
      <c r="L28" s="2"/>
      <c r="M28" s="2"/>
      <c r="N28" s="2"/>
      <c r="O28" s="2"/>
      <c r="P28" s="2"/>
      <c r="Q28" s="2"/>
      <c r="R28" s="2"/>
    </row>
    <row r="29" spans="1:18" ht="0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>SUM(L10:L28)</f>
        <v>0</v>
      </c>
      <c r="M29" s="2"/>
      <c r="N29" s="2"/>
      <c r="O29" s="2"/>
      <c r="P29" s="2"/>
      <c r="Q29" s="2"/>
      <c r="R29" s="2"/>
    </row>
    <row r="30" spans="1:18" ht="0" customHeight="1" hidden="1">
      <c r="A30" s="48"/>
      <c r="B30" s="49"/>
      <c r="C30" s="49"/>
      <c r="D30" s="49"/>
      <c r="E30" s="49"/>
      <c r="F30" s="50"/>
      <c r="G30" s="48"/>
      <c r="H30" s="49"/>
      <c r="I30" s="49"/>
      <c r="J30" s="49"/>
      <c r="K30" s="50"/>
      <c r="L30" s="2"/>
      <c r="M30" s="2"/>
      <c r="N30" s="2"/>
      <c r="O30" s="2"/>
      <c r="P30" s="2"/>
      <c r="Q30" s="2"/>
      <c r="R30" s="2"/>
    </row>
    <row r="31" spans="1:18" ht="0" customHeight="1" hidden="1">
      <c r="A31" s="51" t="s">
        <v>29</v>
      </c>
      <c r="B31" s="52"/>
      <c r="C31" s="52"/>
      <c r="D31" s="53" t="s">
        <v>30</v>
      </c>
      <c r="E31" s="10" t="str">
        <f>FIXED(P6,5)</f>
        <v>0.00000</v>
      </c>
      <c r="F31" s="54"/>
      <c r="G31" s="11"/>
      <c r="H31" s="12"/>
      <c r="I31" s="12"/>
      <c r="J31" s="12"/>
      <c r="K31" s="54"/>
      <c r="L31" s="2"/>
      <c r="M31" s="2"/>
      <c r="N31" s="2"/>
      <c r="O31" s="2"/>
      <c r="P31" s="2"/>
      <c r="Q31" s="2"/>
      <c r="R31" s="2"/>
    </row>
    <row r="32" spans="1:18" ht="0" customHeight="1" hidden="1">
      <c r="A32" s="55" t="s">
        <v>47</v>
      </c>
      <c r="B32" s="52"/>
      <c r="C32" s="52"/>
      <c r="D32" s="52"/>
      <c r="E32" s="56" t="str">
        <f>FIXED(ROUND(K28,0),3)</f>
        <v>0.000</v>
      </c>
      <c r="F32" s="13"/>
      <c r="G32" s="11" t="str">
        <f>+"  Barrels : "&amp;H47</f>
        <v>  Barrels : 0.000</v>
      </c>
      <c r="H32" s="12"/>
      <c r="I32" s="12"/>
      <c r="J32" s="14" t="s">
        <v>31</v>
      </c>
      <c r="K32" s="57">
        <f>ROUND(L29,3)</f>
        <v>0</v>
      </c>
      <c r="L32" s="2"/>
      <c r="M32" s="2"/>
      <c r="N32" s="2"/>
      <c r="O32" s="2"/>
      <c r="P32" s="2"/>
      <c r="Q32" s="2"/>
      <c r="R32" s="2"/>
    </row>
    <row r="33" spans="1:18" ht="0" customHeight="1" hidden="1">
      <c r="A33" s="55" t="s">
        <v>48</v>
      </c>
      <c r="B33" s="52"/>
      <c r="C33" s="52"/>
      <c r="D33" s="52"/>
      <c r="E33" s="56" t="str">
        <f>FIXED(E32+F28,3)</f>
        <v>0.000</v>
      </c>
      <c r="F33" s="13"/>
      <c r="G33" s="11" t="str">
        <f>+"  Kilolitres : "&amp;H48</f>
        <v>  Kilolitres : 0.000</v>
      </c>
      <c r="H33" s="12"/>
      <c r="I33" s="12"/>
      <c r="J33" s="14" t="s">
        <v>32</v>
      </c>
      <c r="K33" s="15">
        <f>ROUND(K32*0.984206,3)</f>
        <v>0</v>
      </c>
      <c r="L33" s="2"/>
      <c r="M33" s="2"/>
      <c r="N33" s="2"/>
      <c r="O33" s="2"/>
      <c r="P33" s="2"/>
      <c r="Q33" s="2"/>
      <c r="R33" s="2"/>
    </row>
    <row r="34" spans="1:18" ht="0" customHeight="1" hidden="1">
      <c r="A34" s="58" t="s">
        <v>33</v>
      </c>
      <c r="B34" s="59"/>
      <c r="C34" s="59"/>
      <c r="D34" s="59"/>
      <c r="E34" s="60"/>
      <c r="F34" s="61"/>
      <c r="G34" s="62"/>
      <c r="H34" s="60"/>
      <c r="I34" s="60"/>
      <c r="J34" s="60"/>
      <c r="K34" s="61"/>
      <c r="L34" s="2"/>
      <c r="M34" s="2"/>
      <c r="N34" s="2"/>
      <c r="O34" s="2"/>
      <c r="P34" s="2"/>
      <c r="Q34" s="2"/>
      <c r="R34" s="2"/>
    </row>
    <row r="35" spans="1:18" ht="0" customHeight="1" hidden="1">
      <c r="A35" s="5" t="s">
        <v>34</v>
      </c>
      <c r="B35" s="5"/>
      <c r="C35" s="5"/>
      <c r="D35" s="63" t="s">
        <v>49</v>
      </c>
      <c r="E35" s="5"/>
      <c r="F35" s="5"/>
      <c r="G35" s="5" t="s">
        <v>35</v>
      </c>
      <c r="H35" s="5"/>
      <c r="I35" s="5"/>
      <c r="J35" s="63" t="s">
        <v>36</v>
      </c>
      <c r="K35" s="1"/>
      <c r="L35" s="2"/>
      <c r="M35" s="2"/>
      <c r="N35" s="2"/>
      <c r="O35" s="2"/>
      <c r="P35" s="2"/>
      <c r="Q35" s="2"/>
      <c r="R35" s="2"/>
    </row>
    <row r="36" spans="1:18" ht="0" customHeight="1" hidden="1">
      <c r="A36" s="5" t="s">
        <v>37</v>
      </c>
      <c r="B36" s="5"/>
      <c r="C36" s="5"/>
      <c r="D36" s="63" t="s">
        <v>38</v>
      </c>
      <c r="E36" s="5"/>
      <c r="F36" s="5"/>
      <c r="G36" s="5" t="s">
        <v>39</v>
      </c>
      <c r="H36" s="5"/>
      <c r="I36" s="5"/>
      <c r="J36" s="63" t="s">
        <v>36</v>
      </c>
      <c r="K36" s="1"/>
      <c r="L36" s="2"/>
      <c r="M36" s="2"/>
      <c r="N36" s="2"/>
      <c r="O36" s="2"/>
      <c r="P36" s="2"/>
      <c r="Q36" s="2"/>
      <c r="R36" s="2"/>
    </row>
    <row r="37" spans="1:18" ht="0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</row>
    <row r="38" spans="1:18" ht="0" customHeight="1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</row>
    <row r="39" spans="1:18" ht="0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</row>
    <row r="40" spans="1:18" ht="0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</row>
    <row r="41" spans="1:18" ht="0" customHeight="1" hidden="1">
      <c r="A41" s="64"/>
      <c r="B41" s="64"/>
      <c r="C41" s="64"/>
      <c r="D41" s="1"/>
      <c r="E41" s="1"/>
      <c r="F41" s="1"/>
      <c r="G41" s="1"/>
      <c r="H41" s="1"/>
      <c r="I41" s="64"/>
      <c r="J41" s="64"/>
      <c r="K41" s="64"/>
      <c r="L41" s="2"/>
      <c r="M41" s="2"/>
      <c r="N41" s="2"/>
      <c r="O41" s="2"/>
      <c r="P41" s="2"/>
      <c r="Q41" s="2"/>
      <c r="R41" s="2"/>
    </row>
    <row r="42" spans="1:18" ht="0" customHeight="1" hidden="1">
      <c r="A42" s="1" t="s">
        <v>40</v>
      </c>
      <c r="B42" s="1"/>
      <c r="C42" s="1"/>
      <c r="D42" s="1"/>
      <c r="E42" s="1"/>
      <c r="F42" s="1"/>
      <c r="G42" s="1"/>
      <c r="H42" s="1"/>
      <c r="I42" s="1"/>
      <c r="J42" s="1" t="s">
        <v>41</v>
      </c>
      <c r="K42" s="1"/>
      <c r="L42" s="2"/>
      <c r="M42" s="2"/>
      <c r="N42" s="2"/>
      <c r="O42" s="2"/>
      <c r="P42" s="2"/>
      <c r="Q42" s="2"/>
      <c r="R42" s="2"/>
    </row>
    <row r="43" spans="1:18" ht="0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</row>
    <row r="44" spans="1:18" ht="0" customHeight="1" hidden="1">
      <c r="A44" s="65" t="s">
        <v>42</v>
      </c>
      <c r="B44" s="66"/>
      <c r="C44" s="66"/>
      <c r="D44" s="66"/>
      <c r="E44" s="66"/>
      <c r="F44" s="66"/>
      <c r="G44" s="66"/>
      <c r="H44" s="66"/>
      <c r="I44" s="1"/>
      <c r="J44" s="1"/>
      <c r="K44" s="1"/>
      <c r="L44" s="2"/>
      <c r="M44" s="2"/>
      <c r="N44" s="2"/>
      <c r="O44" s="2"/>
      <c r="P44" s="2"/>
      <c r="Q44" s="2"/>
      <c r="R44" s="2"/>
    </row>
    <row r="45" spans="1:18" ht="0" customHeight="1" hidden="1">
      <c r="A45" s="65" t="s">
        <v>43</v>
      </c>
      <c r="B45" s="65"/>
      <c r="C45" s="65"/>
      <c r="D45" s="65"/>
      <c r="E45" s="65"/>
      <c r="F45" s="65"/>
      <c r="G45" s="65"/>
      <c r="H45" s="66"/>
      <c r="I45" s="1"/>
      <c r="J45" s="1"/>
      <c r="K45" s="1"/>
      <c r="L45" s="2"/>
      <c r="M45" s="2"/>
      <c r="N45" s="2"/>
      <c r="O45" s="2"/>
      <c r="P45" s="2"/>
      <c r="Q45" s="2"/>
      <c r="R45" s="2"/>
    </row>
    <row r="46" spans="7:8" ht="0" customHeight="1" hidden="1">
      <c r="G46" s="16" t="s">
        <v>44</v>
      </c>
      <c r="H46" s="4">
        <f>IF(H10&lt;0.697,6.295,IF(H10&lt;0.778,6.294,IF(H10&lt;0.901,6.293,IF(10&lt;1.074,6.292,6.292))))</f>
        <v>6.295</v>
      </c>
    </row>
    <row r="47" spans="7:8" ht="0" customHeight="1" hidden="1">
      <c r="G47" s="16" t="s">
        <v>45</v>
      </c>
      <c r="H47" s="17" t="str">
        <f>FIXED(K28,3)</f>
        <v>0.000</v>
      </c>
    </row>
    <row r="48" spans="7:8" ht="0" customHeight="1" hidden="1">
      <c r="G48" s="16" t="s">
        <v>46</v>
      </c>
      <c r="H48" s="17" t="str">
        <f>FIXED(ROUND(H47/6.28981,3),3)</f>
        <v>0.000</v>
      </c>
    </row>
    <row r="49" ht="0" customHeight="1" hidden="1"/>
    <row r="50" ht="0" customHeight="1" hidden="1"/>
    <row r="51" ht="0" customHeight="1" hidden="1"/>
    <row r="52" ht="0" customHeight="1" hidden="1"/>
    <row r="53" ht="0" customHeight="1" hidden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  <row r="65" ht="0" customHeight="1" hidden="1"/>
    <row r="66" ht="0" customHeight="1" hidden="1"/>
    <row r="67" ht="0" customHeight="1" hidden="1"/>
    <row r="68" ht="0" customHeight="1" hidden="1"/>
    <row r="69" ht="0" customHeight="1" hidden="1"/>
    <row r="70" ht="0" customHeight="1" hidden="1"/>
    <row r="71" ht="0" customHeight="1" hidden="1"/>
    <row r="72" ht="0" customHeight="1" hidden="1"/>
    <row r="73" ht="0" customHeight="1" hidden="1"/>
    <row r="74" ht="0" customHeight="1" hidden="1"/>
    <row r="75" ht="0" customHeight="1" hidden="1"/>
    <row r="76" ht="0" customHeight="1" hidden="1"/>
    <row r="77" ht="0" customHeight="1" hidden="1"/>
    <row r="78" ht="0" customHeight="1" hidden="1"/>
    <row r="79" ht="0" customHeight="1" hidden="1"/>
    <row r="80" ht="0" customHeight="1" hidden="1"/>
    <row r="81" ht="0" customHeight="1" hidden="1"/>
    <row r="82" ht="0" customHeight="1" hidden="1"/>
    <row r="83" ht="0" customHeight="1" hidden="1"/>
    <row r="84" ht="0" customHeight="1" hidden="1"/>
    <row r="85" ht="0" customHeight="1" hidden="1"/>
    <row r="86" ht="0" customHeight="1" hidden="1"/>
    <row r="87" ht="0" customHeight="1" hidden="1"/>
    <row r="88" ht="0" customHeight="1" hidden="1"/>
    <row r="89" ht="0" customHeight="1" hidden="1"/>
    <row r="90" ht="0" customHeight="1" hidden="1"/>
    <row r="91" ht="0" customHeight="1" hidden="1"/>
    <row r="92" ht="0" customHeight="1" hidden="1"/>
    <row r="93" ht="0" customHeight="1" hidden="1"/>
    <row r="94" ht="0" customHeight="1" hidden="1"/>
    <row r="95" ht="0" customHeight="1" hidden="1"/>
    <row r="96" ht="0" customHeight="1" hidden="1"/>
    <row r="97" ht="0" customHeight="1" hidden="1"/>
    <row r="98" ht="0" customHeight="1" hidden="1"/>
    <row r="99" ht="0" customHeight="1" hidden="1"/>
    <row r="100" ht="0" customHeight="1" hidden="1"/>
    <row r="101" ht="0" customHeight="1" hidden="1"/>
    <row r="102" ht="0" customHeight="1" hidden="1"/>
    <row r="103" ht="0" customHeight="1" hidden="1"/>
    <row r="104" ht="0" customHeight="1" hidden="1"/>
    <row r="105" ht="0" customHeight="1" hidden="1"/>
    <row r="106" ht="0" customHeight="1" hidden="1"/>
    <row r="107" ht="0" customHeight="1" hidden="1"/>
    <row r="108" ht="0" customHeight="1" hidden="1"/>
    <row r="109" ht="0" customHeight="1" hidden="1"/>
    <row r="110" ht="0" customHeight="1" hidden="1"/>
    <row r="111" ht="0" customHeight="1" hidden="1"/>
    <row r="112" ht="0" customHeight="1" hidden="1"/>
    <row r="113" ht="0" customHeight="1" hidden="1"/>
    <row r="114" ht="0" customHeight="1" hidden="1"/>
    <row r="115" ht="0" customHeight="1" hidden="1"/>
    <row r="116" ht="0" customHeight="1" hidden="1"/>
    <row r="117" ht="0" customHeight="1" hidden="1"/>
    <row r="118" ht="0" customHeight="1" hidden="1"/>
    <row r="119" ht="0" customHeight="1" hidden="1"/>
    <row r="120" ht="0" customHeight="1" hidden="1"/>
    <row r="121" ht="0" customHeight="1" hidden="1"/>
    <row r="122" ht="0" customHeight="1" hidden="1"/>
    <row r="123" ht="0" customHeight="1" hidden="1"/>
    <row r="124" ht="0" customHeight="1" hidden="1"/>
    <row r="125" ht="0" customHeight="1" hidden="1"/>
    <row r="126" ht="0" customHeight="1" hidden="1"/>
    <row r="127" ht="0" customHeight="1" hidden="1"/>
    <row r="128" ht="0" customHeight="1" hidden="1"/>
    <row r="129" ht="0" customHeight="1" hidden="1"/>
    <row r="130" ht="0" customHeight="1" hidden="1"/>
    <row r="131" ht="0" customHeight="1" hidden="1"/>
    <row r="132" ht="0" customHeight="1" hidden="1"/>
    <row r="133" ht="0" customHeight="1" hidden="1"/>
    <row r="134" ht="0" customHeight="1" hidden="1"/>
    <row r="135" ht="0" customHeight="1" hidden="1"/>
    <row r="136" ht="0" customHeight="1" hidden="1"/>
    <row r="137" ht="0" customHeight="1" hidden="1"/>
    <row r="138" ht="0" customHeight="1" hidden="1"/>
    <row r="139" ht="0" customHeight="1" hidden="1"/>
    <row r="140" ht="0" customHeight="1" hidden="1"/>
    <row r="141" ht="0" customHeight="1" hidden="1"/>
    <row r="142" ht="0" customHeight="1" hidden="1"/>
    <row r="143" ht="0" customHeight="1" hidden="1"/>
    <row r="144" ht="0" customHeight="1" hidden="1"/>
    <row r="145" ht="0" customHeight="1" hidden="1"/>
    <row r="146" ht="0" customHeight="1" hidden="1"/>
    <row r="147" ht="0" customHeight="1" hidden="1"/>
    <row r="148" ht="0" customHeight="1" hidden="1"/>
    <row r="149" ht="0" customHeight="1" hidden="1"/>
    <row r="150" ht="0" customHeight="1" hidden="1"/>
    <row r="151" ht="0" customHeight="1" hidden="1"/>
    <row r="152" ht="0" customHeight="1" hidden="1"/>
    <row r="153" ht="0" customHeight="1" hidden="1"/>
    <row r="154" ht="0" customHeight="1" hidden="1"/>
    <row r="155" ht="0" customHeight="1" hidden="1"/>
    <row r="156" ht="0" customHeight="1" hidden="1"/>
    <row r="157" ht="0" customHeight="1" hidden="1"/>
    <row r="158" ht="0" customHeight="1" hidden="1"/>
    <row r="159" ht="0" customHeight="1" hidden="1"/>
    <row r="160" ht="0" customHeight="1" hidden="1"/>
    <row r="161" ht="0" customHeight="1" hidden="1"/>
    <row r="162" ht="0" customHeight="1" hidden="1"/>
    <row r="163" ht="0" customHeight="1" hidden="1"/>
    <row r="164" ht="0" customHeight="1" hidden="1"/>
    <row r="165" ht="0" customHeight="1" hidden="1"/>
    <row r="166" ht="0" customHeight="1" hidden="1"/>
    <row r="167" ht="0" customHeight="1" hidden="1"/>
    <row r="168" ht="0" customHeight="1" hidden="1"/>
    <row r="169" ht="0" customHeight="1" hidden="1"/>
    <row r="170" ht="0" customHeight="1" hidden="1"/>
    <row r="171" ht="0" customHeight="1" hidden="1"/>
    <row r="172" ht="0" customHeight="1" hidden="1"/>
    <row r="173" ht="0" customHeight="1" hidden="1"/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</sheetData>
  <sheetProtection password="C6EF" sheet="1" objects="1" scenarios="1" selectLockedCells="1" selectUnlockedCells="1"/>
  <printOptions horizontalCentered="1" verticalCentered="1"/>
  <pageMargins left="0.2362204724409449" right="0.31496062992125984" top="0.4330708661417323" bottom="0.1968503937007874" header="0.31496062992125984" footer="0.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TANKER PACIFIC MANAGEMENT. SINGAPORE PTE.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ASTM SOFTWARE FOR PRODUCTS</dc:title>
  <dc:subject/>
  <dc:creator>OSBORNE SERRAO</dc:creator>
  <cp:keywords/>
  <dc:description>VCF AND WCF FOR BOTH POSITIVE AND NEGATIVE API PRODUCTS</dc:description>
  <cp:lastModifiedBy>OSBORNE SERRAO</cp:lastModifiedBy>
  <dcterms:created xsi:type="dcterms:W3CDTF">2004-06-13T23:47:27Z</dcterms:created>
  <dcterms:modified xsi:type="dcterms:W3CDTF">2005-05-22T07:13:40Z</dcterms:modified>
  <cp:category/>
  <cp:version/>
  <cp:contentType/>
  <cp:contentStatus/>
</cp:coreProperties>
</file>